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/>
  <mc:AlternateContent xmlns:mc="http://schemas.openxmlformats.org/markup-compatibility/2006">
    <mc:Choice Requires="x15">
      <x15ac:absPath xmlns:x15ac="http://schemas.microsoft.com/office/spreadsheetml/2010/11/ac" url="Y:\！業務担当\201 使用料改定\R8使用料\04 使用者周知\04-04 ホームページ\"/>
    </mc:Choice>
  </mc:AlternateContent>
  <xr:revisionPtr revIDLastSave="0" documentId="13_ncr:1_{33194805-F052-4217-B565-AEAA7FB6BD84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①計算2か月" sheetId="8" r:id="rId1"/>
    <sheet name="②計算１か月" sheetId="7" r:id="rId2"/>
  </sheets>
  <definedNames>
    <definedName name="_xlnm.Print_Area" localSheetId="0">①計算2か月!$A$1:$R$29</definedName>
    <definedName name="_xlnm.Print_Area" localSheetId="1">②計算１か月!$A$1:$R$29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8" l="1"/>
  <c r="G52" i="7"/>
  <c r="G51" i="7"/>
  <c r="I51" i="7" s="1"/>
  <c r="G50" i="7"/>
  <c r="I50" i="7" s="1"/>
  <c r="G49" i="7"/>
  <c r="I49" i="7" s="1"/>
  <c r="G44" i="7"/>
  <c r="I44" i="7" s="1"/>
  <c r="G43" i="7"/>
  <c r="N23" i="7"/>
  <c r="P23" i="7" s="1"/>
  <c r="G23" i="7"/>
  <c r="I23" i="7" s="1"/>
  <c r="N22" i="7"/>
  <c r="P22" i="7" s="1"/>
  <c r="G22" i="7"/>
  <c r="I22" i="7" s="1"/>
  <c r="N21" i="7"/>
  <c r="P21" i="7" s="1"/>
  <c r="G21" i="7"/>
  <c r="I21" i="7" s="1"/>
  <c r="N20" i="7"/>
  <c r="P20" i="7" s="1"/>
  <c r="G20" i="7"/>
  <c r="I20" i="7" s="1"/>
  <c r="N19" i="7"/>
  <c r="P19" i="7" s="1"/>
  <c r="G19" i="7"/>
  <c r="I19" i="7" s="1"/>
  <c r="N18" i="7"/>
  <c r="P18" i="7" s="1"/>
  <c r="G18" i="7"/>
  <c r="I18" i="7" s="1"/>
  <c r="N17" i="7"/>
  <c r="P17" i="7" s="1"/>
  <c r="G17" i="7"/>
  <c r="I17" i="7" s="1"/>
  <c r="N16" i="7"/>
  <c r="P16" i="7" s="1"/>
  <c r="G16" i="7"/>
  <c r="I16" i="7" s="1"/>
  <c r="N15" i="7"/>
  <c r="G15" i="7"/>
  <c r="N14" i="7"/>
  <c r="P14" i="7" s="1"/>
  <c r="G14" i="7"/>
  <c r="I14" i="7" s="1"/>
  <c r="P13" i="7"/>
  <c r="I13" i="7"/>
  <c r="G12" i="7" l="1"/>
  <c r="N12" i="7"/>
  <c r="I15" i="7"/>
  <c r="I24" i="7" s="1"/>
  <c r="P15" i="7"/>
  <c r="P24" i="7" s="1"/>
  <c r="P28" i="7" l="1"/>
  <c r="P25" i="7"/>
  <c r="P26" i="7" s="1"/>
  <c r="M7" i="7" s="1"/>
  <c r="I25" i="7"/>
  <c r="I26" i="7" s="1"/>
  <c r="M6" i="7" s="1"/>
  <c r="P29" i="7" l="1"/>
  <c r="I50" i="8" l="1"/>
  <c r="G52" i="8"/>
  <c r="G51" i="8"/>
  <c r="I51" i="8" s="1"/>
  <c r="G50" i="8"/>
  <c r="G49" i="8"/>
  <c r="I49" i="8" s="1"/>
  <c r="G48" i="8"/>
  <c r="G47" i="8"/>
  <c r="G44" i="8"/>
  <c r="I44" i="8" s="1"/>
  <c r="G43" i="8"/>
  <c r="N23" i="8"/>
  <c r="P23" i="8" s="1"/>
  <c r="G23" i="8"/>
  <c r="I23" i="8" s="1"/>
  <c r="N22" i="8"/>
  <c r="P22" i="8" s="1"/>
  <c r="G22" i="8"/>
  <c r="I22" i="8" s="1"/>
  <c r="N21" i="8"/>
  <c r="P21" i="8" s="1"/>
  <c r="G21" i="8"/>
  <c r="I21" i="8" s="1"/>
  <c r="N20" i="8"/>
  <c r="P20" i="8" s="1"/>
  <c r="G20" i="8"/>
  <c r="I20" i="8" s="1"/>
  <c r="N19" i="8"/>
  <c r="P19" i="8" s="1"/>
  <c r="G19" i="8"/>
  <c r="I19" i="8" s="1"/>
  <c r="N18" i="8"/>
  <c r="P18" i="8" s="1"/>
  <c r="G18" i="8"/>
  <c r="I18" i="8" s="1"/>
  <c r="N17" i="8"/>
  <c r="P17" i="8" s="1"/>
  <c r="G17" i="8"/>
  <c r="I17" i="8" s="1"/>
  <c r="N16" i="8"/>
  <c r="P16" i="8" s="1"/>
  <c r="G16" i="8"/>
  <c r="I16" i="8" s="1"/>
  <c r="N15" i="8"/>
  <c r="G15" i="8"/>
  <c r="I15" i="8" s="1"/>
  <c r="N14" i="8"/>
  <c r="P14" i="8" s="1"/>
  <c r="I14" i="8"/>
  <c r="P13" i="8"/>
  <c r="I13" i="8"/>
  <c r="G12" i="8" l="1"/>
  <c r="N12" i="8"/>
  <c r="I24" i="8"/>
  <c r="P15" i="8"/>
  <c r="P24" i="8" s="1"/>
  <c r="P28" i="8" l="1"/>
  <c r="P25" i="8"/>
  <c r="P26" i="8" s="1"/>
  <c r="M7" i="8" s="1"/>
  <c r="I25" i="8"/>
  <c r="I26" i="8" s="1"/>
  <c r="M6" i="8" s="1"/>
  <c r="P29" i="8" l="1"/>
  <c r="I52" i="8" l="1"/>
  <c r="I48" i="8"/>
  <c r="I47" i="8"/>
  <c r="G46" i="8"/>
  <c r="I46" i="8" s="1"/>
  <c r="G45" i="8"/>
  <c r="I45" i="8" s="1"/>
  <c r="I43" i="8"/>
  <c r="G42" i="8" l="1"/>
  <c r="I53" i="8"/>
  <c r="F33" i="8" s="1"/>
  <c r="I52" i="7"/>
  <c r="G48" i="7"/>
  <c r="I48" i="7" s="1"/>
  <c r="G47" i="7"/>
  <c r="I47" i="7" s="1"/>
  <c r="G46" i="7"/>
  <c r="I46" i="7" s="1"/>
  <c r="G45" i="7"/>
  <c r="I45" i="7" s="1"/>
  <c r="I43" i="7"/>
  <c r="I54" i="8" l="1"/>
  <c r="I55" i="8" s="1"/>
  <c r="F35" i="8"/>
  <c r="G42" i="7"/>
  <c r="I53" i="7"/>
  <c r="I54" i="7" l="1"/>
  <c r="I55" i="7" s="1"/>
  <c r="F35" i="7"/>
  <c r="F33" i="7"/>
  <c r="F34" i="8"/>
  <c r="F36" i="8"/>
  <c r="F37" i="8"/>
  <c r="F37" i="7" l="1"/>
  <c r="F34" i="7"/>
  <c r="F36" i="7"/>
  <c r="F38" i="7" s="1"/>
  <c r="F38" i="8"/>
  <c r="M8" i="8"/>
  <c r="M8" i="7" l="1"/>
</calcChain>
</file>

<file path=xl/sharedStrings.xml><?xml version="1.0" encoding="utf-8"?>
<sst xmlns="http://schemas.openxmlformats.org/spreadsheetml/2006/main" count="234" uniqueCount="55">
  <si>
    <t>合計</t>
    <rPh sb="0" eb="2">
      <t>ゴウケイ</t>
    </rPh>
    <phoneticPr fontId="1"/>
  </si>
  <si>
    <t>0～8㎥</t>
    <phoneticPr fontId="1"/>
  </si>
  <si>
    <t>9～15㎥</t>
    <phoneticPr fontId="1"/>
  </si>
  <si>
    <t>16～20㎥</t>
    <phoneticPr fontId="1"/>
  </si>
  <si>
    <t>21～30㎥</t>
    <phoneticPr fontId="1"/>
  </si>
  <si>
    <t>31～50㎥</t>
    <phoneticPr fontId="1"/>
  </si>
  <si>
    <t>51～100㎥</t>
    <phoneticPr fontId="1"/>
  </si>
  <si>
    <t>101～300㎥</t>
    <phoneticPr fontId="1"/>
  </si>
  <si>
    <t>301～1,000㎥</t>
    <phoneticPr fontId="1"/>
  </si>
  <si>
    <t>1,001㎥～</t>
    <phoneticPr fontId="1"/>
  </si>
  <si>
    <t>×</t>
    <phoneticPr fontId="1"/>
  </si>
  <si>
    <t>＝</t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</si>
  <si>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</si>
  <si>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</si>
  <si>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水道料金（家庭用）</t>
    <rPh sb="0" eb="2">
      <t>スイドウ</t>
    </rPh>
    <rPh sb="2" eb="4">
      <t>リョウキン</t>
    </rPh>
    <rPh sb="5" eb="8">
      <t>カテイヨウ</t>
    </rPh>
    <phoneticPr fontId="1"/>
  </si>
  <si>
    <t>改定前合計</t>
    <rPh sb="0" eb="2">
      <t>カイテイ</t>
    </rPh>
    <rPh sb="2" eb="3">
      <t>マエ</t>
    </rPh>
    <rPh sb="3" eb="5">
      <t>ゴウケイ</t>
    </rPh>
    <phoneticPr fontId="1"/>
  </si>
  <si>
    <t>（税抜き）</t>
    <rPh sb="1" eb="2">
      <t>ゼイ</t>
    </rPh>
    <rPh sb="2" eb="3">
      <t>ヌ</t>
    </rPh>
    <phoneticPr fontId="1"/>
  </si>
  <si>
    <t>（税込み）</t>
    <rPh sb="1" eb="2">
      <t>ゼイ</t>
    </rPh>
    <rPh sb="2" eb="3">
      <t>コ</t>
    </rPh>
    <phoneticPr fontId="1"/>
  </si>
  <si>
    <t>改定後合計</t>
    <rPh sb="0" eb="2">
      <t>カイテイ</t>
    </rPh>
    <rPh sb="2" eb="3">
      <t>ゴ</t>
    </rPh>
    <rPh sb="3" eb="5">
      <t>ゴウケイ</t>
    </rPh>
    <phoneticPr fontId="1"/>
  </si>
  <si>
    <t>家庭用</t>
    <rPh sb="0" eb="3">
      <t>カテイヨウ</t>
    </rPh>
    <phoneticPr fontId="1"/>
  </si>
  <si>
    <t>差額</t>
    <rPh sb="0" eb="2">
      <t>サガク</t>
    </rPh>
    <phoneticPr fontId="1"/>
  </si>
  <si>
    <t>17～30㎥</t>
    <phoneticPr fontId="1"/>
  </si>
  <si>
    <t>31～40㎥</t>
    <phoneticPr fontId="1"/>
  </si>
  <si>
    <t>41～60㎥</t>
    <phoneticPr fontId="1"/>
  </si>
  <si>
    <t>61～100㎥</t>
    <phoneticPr fontId="1"/>
  </si>
  <si>
    <t>101～200㎥</t>
    <phoneticPr fontId="1"/>
  </si>
  <si>
    <t>201～600㎥</t>
    <phoneticPr fontId="1"/>
  </si>
  <si>
    <t>601～2,000㎥</t>
    <phoneticPr fontId="1"/>
  </si>
  <si>
    <t>2,001㎥～</t>
    <phoneticPr fontId="1"/>
  </si>
  <si>
    <t>17～30㎥</t>
    <phoneticPr fontId="1"/>
  </si>
  <si>
    <t>31～40㎥</t>
    <phoneticPr fontId="1"/>
  </si>
  <si>
    <t>41～60㎥</t>
    <phoneticPr fontId="1"/>
  </si>
  <si>
    <t>改定前下水道使用料（税込み）</t>
    <rPh sb="0" eb="2">
      <t>カイテイ</t>
    </rPh>
    <rPh sb="2" eb="3">
      <t>マエ</t>
    </rPh>
    <rPh sb="3" eb="6">
      <t>ゲスイドウ</t>
    </rPh>
    <rPh sb="6" eb="9">
      <t>シヨウリョウ</t>
    </rPh>
    <rPh sb="10" eb="12">
      <t>ゼイコ</t>
    </rPh>
    <phoneticPr fontId="1"/>
  </si>
  <si>
    <t>改定後下水道使用料（税込み）</t>
    <rPh sb="0" eb="2">
      <t>カイテイ</t>
    </rPh>
    <rPh sb="2" eb="3">
      <t>ゴ</t>
    </rPh>
    <rPh sb="3" eb="6">
      <t>ゲスイドウ</t>
    </rPh>
    <rPh sb="6" eb="9">
      <t>シヨウリョウ</t>
    </rPh>
    <rPh sb="10" eb="12">
      <t>ゼイコ</t>
    </rPh>
    <phoneticPr fontId="1"/>
  </si>
  <si>
    <t>値上額（税込み）</t>
    <rPh sb="0" eb="2">
      <t>ネアゲ</t>
    </rPh>
    <rPh sb="2" eb="3">
      <t>ガク</t>
    </rPh>
    <rPh sb="4" eb="6">
      <t>ゼイコ</t>
    </rPh>
    <phoneticPr fontId="1"/>
  </si>
  <si>
    <t>値上額</t>
    <rPh sb="0" eb="3">
      <t>ネアゲガク</t>
    </rPh>
    <phoneticPr fontId="1"/>
  </si>
  <si>
    <t>【参考】上下水道料金合計額</t>
    <rPh sb="1" eb="3">
      <t>サンコウ</t>
    </rPh>
    <rPh sb="4" eb="8">
      <t>ジョウゲスイドウ</t>
    </rPh>
    <rPh sb="8" eb="10">
      <t>リョウキン</t>
    </rPh>
    <rPh sb="10" eb="12">
      <t>ゴウケイ</t>
    </rPh>
    <rPh sb="12" eb="13">
      <t>ガク</t>
    </rPh>
    <phoneticPr fontId="1"/>
  </si>
  <si>
    <t>排水量</t>
    <rPh sb="0" eb="2">
      <t>ハイスイ</t>
    </rPh>
    <rPh sb="2" eb="3">
      <t>リョウ</t>
    </rPh>
    <phoneticPr fontId="1"/>
  </si>
  <si>
    <t>消費税等</t>
    <rPh sb="0" eb="3">
      <t>ショウヒゼイ</t>
    </rPh>
    <rPh sb="3" eb="4">
      <t>トウ</t>
    </rPh>
    <phoneticPr fontId="1"/>
  </si>
  <si>
    <t>下水道使用料計算シート（隔月点検）</t>
    <rPh sb="0" eb="3">
      <t>ゲスイドウ</t>
    </rPh>
    <rPh sb="3" eb="6">
      <t>シヨウリョウ</t>
    </rPh>
    <rPh sb="6" eb="8">
      <t>ケイサン</t>
    </rPh>
    <rPh sb="12" eb="14">
      <t>カクゲツ</t>
    </rPh>
    <rPh sb="14" eb="16">
      <t>テンケン</t>
    </rPh>
    <phoneticPr fontId="1"/>
  </si>
  <si>
    <t>下水道使用料計算シート（毎月点検）</t>
    <rPh sb="0" eb="3">
      <t>ゲスイドウ</t>
    </rPh>
    <rPh sb="3" eb="6">
      <t>シヨウリョウ</t>
    </rPh>
    <rPh sb="6" eb="8">
      <t>ケイサン</t>
    </rPh>
    <rPh sb="12" eb="14">
      <t>マイツキ</t>
    </rPh>
    <rPh sb="14" eb="16">
      <t>テンケン</t>
    </rPh>
    <phoneticPr fontId="1"/>
  </si>
  <si>
    <t>←金額を確認したい排水量を入力してください。</t>
    <phoneticPr fontId="1"/>
  </si>
  <si>
    <t>旧単価（隔月点検　～R8.9.30）</t>
    <rPh sb="0" eb="3">
      <t>キュウタンカ</t>
    </rPh>
    <phoneticPr fontId="1"/>
  </si>
  <si>
    <t>新単価（隔月点検　R8.10.1～）</t>
    <rPh sb="0" eb="3">
      <t>シンタンカ</t>
    </rPh>
    <phoneticPr fontId="1"/>
  </si>
  <si>
    <t>基本使用料</t>
    <rPh sb="0" eb="2">
      <t>キホン</t>
    </rPh>
    <rPh sb="2" eb="5">
      <t>シヨウリョウ</t>
    </rPh>
    <phoneticPr fontId="1"/>
  </si>
  <si>
    <t>1～8㎥</t>
    <phoneticPr fontId="1"/>
  </si>
  <si>
    <t>9～16㎥</t>
    <phoneticPr fontId="1"/>
  </si>
  <si>
    <t>×</t>
  </si>
  <si>
    <t>水道料金（口径13～25mm）</t>
    <rPh sb="0" eb="2">
      <t>スイドウ</t>
    </rPh>
    <rPh sb="2" eb="4">
      <t>リョウキン</t>
    </rPh>
    <rPh sb="5" eb="7">
      <t>コウケイ</t>
    </rPh>
    <phoneticPr fontId="1"/>
  </si>
  <si>
    <t>旧単価（毎月点検　～R8.9.30）</t>
    <rPh sb="0" eb="3">
      <t>キュウタンカ</t>
    </rPh>
    <rPh sb="4" eb="5">
      <t>マイ</t>
    </rPh>
    <phoneticPr fontId="1"/>
  </si>
  <si>
    <t>新単価（毎月点検　R8.10.1～）</t>
    <rPh sb="0" eb="3">
      <t>シンタンカ</t>
    </rPh>
    <rPh sb="4" eb="5">
      <t>マイ</t>
    </rPh>
    <phoneticPr fontId="1"/>
  </si>
  <si>
    <t>0～4㎥</t>
    <phoneticPr fontId="1"/>
  </si>
  <si>
    <t>5～8㎥</t>
    <phoneticPr fontId="1"/>
  </si>
  <si>
    <t>2001～㎥</t>
    <phoneticPr fontId="1"/>
  </si>
  <si>
    <t>1,001～㎥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</si>
</sst>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&quot;円/㎥&quot;"/>
    <numFmt numFmtId="178" formatCode="#,###&quot;円&quot;"/>
    <numFmt numFmtId="179" formatCode="#,###&quot;㎥&quot;"/>
  </numFmts>
  <fonts count="2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2"/>
      <charset val="128"/>
    </font>
    <font>
      <sz val="12"/>
      <name val="ＭＳ 明朝"/>
      <family val="1"/>
      <charset val="128"/>
    </font>
    <font>
      <b/>
      <sz val="2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6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16"/>
      <color rgb="FFFF0000"/>
      <name val="BIZ UD明朝 Medium"/>
      <family val="1"/>
      <charset val="128"/>
    </font>
    <font>
      <sz val="11"/>
      <color rgb="FF008000"/>
      <name val="ＭＳ 明朝"/>
      <family val="2"/>
      <charset val="128"/>
    </font>
    <font>
      <sz val="11"/>
      <color rgb="FF008000"/>
      <name val="BIZ UD明朝 Medium"/>
      <family val="1"/>
      <charset val="128"/>
    </font>
    <font>
      <b/>
      <sz val="16"/>
      <color rgb="FF008000"/>
      <name val="BIZ UD明朝 Medium"/>
      <family val="1"/>
      <charset val="128"/>
    </font>
    <font>
      <sz val="16"/>
      <color rgb="FF008000"/>
      <name val="BIZ UD明朝 Medium"/>
      <family val="1"/>
      <charset val="128"/>
    </font>
    <font>
      <sz val="12"/>
      <color rgb="FF008000"/>
      <name val="BIZ UD明朝 Medium"/>
      <family val="1"/>
      <charset val="128"/>
    </font>
    <font>
      <sz val="11"/>
      <color rgb="FFFF0000"/>
      <name val="ＭＳ 明朝"/>
      <family val="2"/>
      <charset val="128"/>
    </font>
    <font>
      <sz val="16"/>
      <color rgb="FFFF0000"/>
      <name val="BIZ UD明朝 Medium"/>
      <family val="1"/>
      <charset val="128"/>
    </font>
    <font>
      <sz val="12"/>
      <color rgb="FFFF0000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Fill="1" applyAlignment="1">
      <alignment horizontal="right" vertical="center" shrinkToFit="1"/>
    </xf>
    <xf numFmtId="0" fontId="5" fillId="0" borderId="0" xfId="0" applyFont="1" applyFill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 applyFill="1" applyAlignment="1">
      <alignment horizontal="left"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>
      <alignment vertical="center"/>
    </xf>
    <xf numFmtId="0" fontId="9" fillId="0" borderId="0" xfId="0" applyFont="1" applyAlignment="1">
      <alignment horizontal="right" vertical="center"/>
    </xf>
    <xf numFmtId="179" fontId="9" fillId="0" borderId="0" xfId="0" applyNumberFormat="1" applyFont="1" applyFill="1" applyBorder="1" applyAlignment="1">
      <alignment horizontal="right" vertical="center" shrinkToFit="1"/>
    </xf>
    <xf numFmtId="178" fontId="10" fillId="0" borderId="18" xfId="0" applyNumberFormat="1" applyFont="1" applyFill="1" applyBorder="1" applyAlignment="1">
      <alignment horizontal="right" vertical="center" shrinkToFit="1"/>
    </xf>
    <xf numFmtId="176" fontId="14" fillId="0" borderId="0" xfId="0" applyNumberFormat="1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179" fontId="5" fillId="0" borderId="6" xfId="0" applyNumberFormat="1" applyFont="1" applyFill="1" applyBorder="1" applyAlignment="1">
      <alignment vertical="center" shrinkToFit="1"/>
    </xf>
    <xf numFmtId="179" fontId="5" fillId="0" borderId="0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6" fontId="6" fillId="0" borderId="0" xfId="0" applyNumberFormat="1" applyFont="1" applyAlignment="1">
      <alignment vertical="center" shrinkToFit="1"/>
    </xf>
    <xf numFmtId="176" fontId="15" fillId="0" borderId="12" xfId="0" applyNumberFormat="1" applyFont="1" applyBorder="1" applyAlignment="1">
      <alignment horizontal="right" vertical="center" shrinkToFit="1"/>
    </xf>
    <xf numFmtId="178" fontId="15" fillId="0" borderId="14" xfId="0" applyNumberFormat="1" applyFont="1" applyFill="1" applyBorder="1" applyAlignment="1">
      <alignment vertical="center" shrinkToFit="1"/>
    </xf>
    <xf numFmtId="176" fontId="15" fillId="0" borderId="17" xfId="0" applyNumberFormat="1" applyFont="1" applyBorder="1" applyAlignment="1">
      <alignment horizontal="right" vertical="center" shrinkToFit="1"/>
    </xf>
    <xf numFmtId="178" fontId="15" fillId="0" borderId="19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176" fontId="15" fillId="0" borderId="0" xfId="0" applyNumberFormat="1" applyFont="1" applyBorder="1" applyAlignment="1">
      <alignment horizontal="right"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178" fontId="15" fillId="0" borderId="0" xfId="0" applyNumberFormat="1" applyFont="1" applyFill="1" applyBorder="1" applyAlignment="1">
      <alignment vertical="center" shrinkToFit="1"/>
    </xf>
    <xf numFmtId="0" fontId="16" fillId="0" borderId="20" xfId="0" applyFont="1" applyFill="1" applyBorder="1" applyAlignment="1">
      <alignment horizontal="right" vertical="center" shrinkToFit="1"/>
    </xf>
    <xf numFmtId="176" fontId="15" fillId="0" borderId="21" xfId="0" applyNumberFormat="1" applyFont="1" applyFill="1" applyBorder="1" applyAlignment="1">
      <alignment vertical="center" shrinkToFit="1"/>
    </xf>
    <xf numFmtId="0" fontId="15" fillId="0" borderId="23" xfId="0" applyFont="1" applyFill="1" applyBorder="1" applyAlignment="1">
      <alignment horizontal="right" vertical="center" shrinkToFit="1"/>
    </xf>
    <xf numFmtId="176" fontId="15" fillId="0" borderId="6" xfId="0" applyNumberFormat="1" applyFont="1" applyFill="1" applyBorder="1" applyAlignment="1">
      <alignment vertical="center" shrinkToFit="1"/>
    </xf>
    <xf numFmtId="0" fontId="15" fillId="0" borderId="25" xfId="0" applyFont="1" applyFill="1" applyBorder="1" applyAlignment="1">
      <alignment horizontal="right" vertical="center" shrinkToFit="1"/>
    </xf>
    <xf numFmtId="176" fontId="15" fillId="0" borderId="8" xfId="0" applyNumberFormat="1" applyFont="1" applyFill="1" applyBorder="1" applyAlignment="1">
      <alignment vertical="center" shrinkToFit="1"/>
    </xf>
    <xf numFmtId="0" fontId="15" fillId="0" borderId="15" xfId="0" applyFont="1" applyFill="1" applyBorder="1" applyAlignment="1">
      <alignment horizontal="right" vertical="center" shrinkToFit="1"/>
    </xf>
    <xf numFmtId="176" fontId="15" fillId="0" borderId="0" xfId="0" applyNumberFormat="1" applyFont="1" applyFill="1" applyBorder="1" applyAlignment="1">
      <alignment vertical="center" shrinkToFit="1"/>
    </xf>
    <xf numFmtId="0" fontId="15" fillId="0" borderId="17" xfId="0" applyFont="1" applyFill="1" applyBorder="1" applyAlignment="1">
      <alignment horizontal="right" vertical="center" shrinkToFit="1"/>
    </xf>
    <xf numFmtId="176" fontId="15" fillId="0" borderId="18" xfId="0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178" fontId="5" fillId="0" borderId="6" xfId="0" applyNumberFormat="1" applyFont="1" applyFill="1" applyBorder="1">
      <alignment vertical="center"/>
    </xf>
    <xf numFmtId="0" fontId="5" fillId="0" borderId="6" xfId="0" applyFont="1" applyFill="1" applyBorder="1">
      <alignment vertical="center"/>
    </xf>
    <xf numFmtId="178" fontId="5" fillId="0" borderId="7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/>
    </xf>
    <xf numFmtId="177" fontId="5" fillId="0" borderId="0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8" fontId="5" fillId="0" borderId="4" xfId="0" applyNumberFormat="1" applyFont="1" applyFill="1" applyBorder="1">
      <alignment vertical="center"/>
    </xf>
    <xf numFmtId="0" fontId="5" fillId="0" borderId="11" xfId="0" applyFont="1" applyFill="1" applyBorder="1" applyAlignment="1">
      <alignment horizontal="right" vertical="center"/>
    </xf>
    <xf numFmtId="177" fontId="5" fillId="0" borderId="9" xfId="0" applyNumberFormat="1" applyFont="1" applyFill="1" applyBorder="1">
      <alignment vertical="center"/>
    </xf>
    <xf numFmtId="0" fontId="5" fillId="0" borderId="9" xfId="0" applyFont="1" applyFill="1" applyBorder="1">
      <alignment vertical="center"/>
    </xf>
    <xf numFmtId="178" fontId="5" fillId="0" borderId="1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176" fontId="5" fillId="0" borderId="8" xfId="0" applyNumberFormat="1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8" xfId="0" applyFont="1" applyFill="1" applyBorder="1" applyAlignment="1">
      <alignment horizontal="right" vertical="center"/>
    </xf>
    <xf numFmtId="178" fontId="5" fillId="0" borderId="5" xfId="0" applyNumberFormat="1" applyFont="1" applyFill="1" applyBorder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176" fontId="5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7" fillId="0" borderId="13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176" fontId="5" fillId="0" borderId="13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0" fillId="0" borderId="15" xfId="0" applyBorder="1">
      <alignment vertical="center"/>
    </xf>
    <xf numFmtId="0" fontId="5" fillId="0" borderId="16" xfId="0" applyFont="1" applyBorder="1">
      <alignment vertical="center"/>
    </xf>
    <xf numFmtId="0" fontId="0" fillId="0" borderId="17" xfId="0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9" fillId="0" borderId="18" xfId="0" applyFont="1" applyBorder="1" applyAlignment="1">
      <alignment horizontal="right" vertical="center"/>
    </xf>
    <xf numFmtId="179" fontId="9" fillId="0" borderId="18" xfId="0" applyNumberFormat="1" applyFont="1" applyFill="1" applyBorder="1" applyAlignment="1">
      <alignment horizontal="right" vertical="center" shrinkToFit="1"/>
    </xf>
    <xf numFmtId="0" fontId="8" fillId="0" borderId="18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5" fillId="0" borderId="19" xfId="0" applyFont="1" applyBorder="1">
      <alignment vertical="center"/>
    </xf>
    <xf numFmtId="178" fontId="5" fillId="0" borderId="0" xfId="0" applyNumberFormat="1" applyFont="1" applyFill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right" vertical="center" shrinkToFit="1"/>
    </xf>
    <xf numFmtId="0" fontId="17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176" fontId="21" fillId="0" borderId="0" xfId="0" applyNumberFormat="1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6" fontId="22" fillId="0" borderId="0" xfId="0" applyNumberFormat="1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9" fontId="6" fillId="0" borderId="0" xfId="0" applyNumberFormat="1" applyFont="1" applyAlignment="1">
      <alignment horizontal="center" vertical="center" shrinkToFit="1"/>
    </xf>
    <xf numFmtId="0" fontId="11" fillId="0" borderId="30" xfId="0" applyFont="1" applyBorder="1" applyAlignment="1">
      <alignment horizontal="right" vertical="center" shrinkToFit="1"/>
    </xf>
    <xf numFmtId="178" fontId="11" fillId="0" borderId="31" xfId="0" applyNumberFormat="1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  <xf numFmtId="179" fontId="11" fillId="0" borderId="31" xfId="0" applyNumberFormat="1" applyFont="1" applyBorder="1" applyAlignment="1">
      <alignment vertical="center" shrinkToFit="1"/>
    </xf>
    <xf numFmtId="178" fontId="11" fillId="0" borderId="32" xfId="0" applyNumberFormat="1" applyFont="1" applyBorder="1" applyAlignment="1">
      <alignment vertical="center" shrinkToFit="1"/>
    </xf>
    <xf numFmtId="178" fontId="11" fillId="0" borderId="39" xfId="0" applyNumberFormat="1" applyFont="1" applyBorder="1" applyAlignment="1">
      <alignment vertical="center" shrinkToFit="1"/>
    </xf>
    <xf numFmtId="0" fontId="12" fillId="0" borderId="31" xfId="0" applyFont="1" applyBorder="1" applyAlignment="1">
      <alignment vertical="center" shrinkToFit="1"/>
    </xf>
    <xf numFmtId="178" fontId="12" fillId="0" borderId="32" xfId="0" applyNumberFormat="1" applyFont="1" applyBorder="1" applyAlignment="1">
      <alignment vertical="center" shrinkToFit="1"/>
    </xf>
    <xf numFmtId="178" fontId="6" fillId="0" borderId="0" xfId="0" applyNumberFormat="1" applyFont="1" applyAlignment="1">
      <alignment vertical="center" shrinkToFit="1"/>
    </xf>
    <xf numFmtId="0" fontId="11" fillId="0" borderId="33" xfId="0" applyFont="1" applyBorder="1" applyAlignment="1">
      <alignment horizontal="right" vertical="center" shrinkToFit="1"/>
    </xf>
    <xf numFmtId="178" fontId="11" fillId="0" borderId="40" xfId="0" applyNumberFormat="1" applyFont="1" applyBorder="1" applyAlignment="1">
      <alignment vertical="center" shrinkToFit="1"/>
    </xf>
    <xf numFmtId="0" fontId="11" fillId="0" borderId="40" xfId="0" applyFont="1" applyBorder="1" applyAlignment="1">
      <alignment vertical="center" shrinkToFit="1"/>
    </xf>
    <xf numFmtId="179" fontId="12" fillId="0" borderId="34" xfId="0" applyNumberFormat="1" applyFont="1" applyBorder="1" applyAlignment="1">
      <alignment vertical="center" shrinkToFit="1"/>
    </xf>
    <xf numFmtId="178" fontId="11" fillId="0" borderId="35" xfId="0" applyNumberFormat="1" applyFont="1" applyBorder="1" applyAlignment="1">
      <alignment vertical="center" shrinkToFit="1"/>
    </xf>
    <xf numFmtId="178" fontId="11" fillId="0" borderId="41" xfId="0" applyNumberFormat="1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178" fontId="12" fillId="0" borderId="35" xfId="0" applyNumberFormat="1" applyFont="1" applyBorder="1" applyAlignment="1">
      <alignment vertical="center" shrinkToFit="1"/>
    </xf>
    <xf numFmtId="177" fontId="11" fillId="0" borderId="34" xfId="0" applyNumberFormat="1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179" fontId="11" fillId="0" borderId="34" xfId="0" applyNumberFormat="1" applyFont="1" applyBorder="1" applyAlignment="1">
      <alignment vertical="center" shrinkToFit="1"/>
    </xf>
    <xf numFmtId="177" fontId="11" fillId="0" borderId="42" xfId="0" applyNumberFormat="1" applyFont="1" applyBorder="1" applyAlignment="1">
      <alignment vertical="center" shrinkToFit="1"/>
    </xf>
    <xf numFmtId="0" fontId="12" fillId="0" borderId="34" xfId="0" applyFont="1" applyBorder="1" applyAlignment="1">
      <alignment vertical="center" shrinkToFit="1"/>
    </xf>
    <xf numFmtId="0" fontId="11" fillId="0" borderId="36" xfId="0" applyFont="1" applyBorder="1" applyAlignment="1">
      <alignment horizontal="right" vertical="center" shrinkToFit="1"/>
    </xf>
    <xf numFmtId="177" fontId="11" fillId="0" borderId="37" xfId="0" applyNumberFormat="1" applyFont="1" applyBorder="1" applyAlignment="1">
      <alignment vertical="center" shrinkToFit="1"/>
    </xf>
    <xf numFmtId="0" fontId="11" fillId="0" borderId="37" xfId="0" applyFont="1" applyBorder="1" applyAlignment="1">
      <alignment vertical="center" shrinkToFit="1"/>
    </xf>
    <xf numFmtId="179" fontId="11" fillId="0" borderId="37" xfId="0" applyNumberFormat="1" applyFont="1" applyBorder="1" applyAlignment="1">
      <alignment vertical="center" shrinkToFit="1"/>
    </xf>
    <xf numFmtId="178" fontId="11" fillId="0" borderId="38" xfId="0" applyNumberFormat="1" applyFont="1" applyBorder="1" applyAlignment="1">
      <alignment vertical="center" shrinkToFit="1"/>
    </xf>
    <xf numFmtId="177" fontId="11" fillId="0" borderId="43" xfId="0" applyNumberFormat="1" applyFont="1" applyBorder="1" applyAlignment="1">
      <alignment vertical="center" shrinkToFit="1"/>
    </xf>
    <xf numFmtId="0" fontId="12" fillId="0" borderId="37" xfId="0" applyFont="1" applyBorder="1" applyAlignment="1">
      <alignment vertical="center" shrinkToFit="1"/>
    </xf>
    <xf numFmtId="178" fontId="12" fillId="0" borderId="38" xfId="0" applyNumberFormat="1" applyFont="1" applyBorder="1" applyAlignment="1">
      <alignment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178" fontId="12" fillId="0" borderId="4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right" vertical="center" shrinkToFit="1"/>
    </xf>
    <xf numFmtId="176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0" fontId="11" fillId="0" borderId="2" xfId="0" applyFont="1" applyBorder="1" applyAlignment="1">
      <alignment horizontal="right" vertical="center" shrinkToFit="1"/>
    </xf>
    <xf numFmtId="176" fontId="11" fillId="0" borderId="8" xfId="0" applyNumberFormat="1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178" fontId="12" fillId="0" borderId="5" xfId="0" applyNumberFormat="1" applyFont="1" applyBorder="1" applyAlignment="1">
      <alignment vertical="center" shrinkToFit="1"/>
    </xf>
    <xf numFmtId="0" fontId="12" fillId="0" borderId="2" xfId="0" applyFont="1" applyBorder="1" applyAlignment="1">
      <alignment horizontal="right" vertical="center" shrinkToFit="1"/>
    </xf>
    <xf numFmtId="176" fontId="12" fillId="0" borderId="8" xfId="0" applyNumberFormat="1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8" xfId="0" applyFont="1" applyBorder="1" applyAlignment="1">
      <alignment horizontal="right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176" fontId="24" fillId="0" borderId="0" xfId="0" applyNumberFormat="1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176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5" fillId="0" borderId="31" xfId="0" applyFont="1" applyBorder="1">
      <alignment vertical="center"/>
    </xf>
    <xf numFmtId="178" fontId="11" fillId="0" borderId="42" xfId="0" applyNumberFormat="1" applyFont="1" applyBorder="1" applyAlignment="1">
      <alignment vertical="center" shrinkToFit="1"/>
    </xf>
    <xf numFmtId="177" fontId="12" fillId="0" borderId="34" xfId="0" applyNumberFormat="1" applyFont="1" applyBorder="1" applyAlignment="1">
      <alignment vertical="center" shrinkToFit="1"/>
    </xf>
    <xf numFmtId="0" fontId="12" fillId="0" borderId="33" xfId="0" applyFont="1" applyBorder="1" applyAlignment="1">
      <alignment horizontal="right" vertical="center" shrinkToFit="1"/>
    </xf>
    <xf numFmtId="177" fontId="12" fillId="0" borderId="42" xfId="0" applyNumberFormat="1" applyFont="1" applyBorder="1" applyAlignment="1">
      <alignment vertical="center" shrinkToFit="1"/>
    </xf>
    <xf numFmtId="177" fontId="12" fillId="0" borderId="37" xfId="0" applyNumberFormat="1" applyFont="1" applyBorder="1" applyAlignment="1">
      <alignment vertical="center" shrinkToFit="1"/>
    </xf>
    <xf numFmtId="0" fontId="12" fillId="0" borderId="36" xfId="0" applyFont="1" applyBorder="1" applyAlignment="1">
      <alignment horizontal="right" vertical="center" shrinkToFit="1"/>
    </xf>
    <xf numFmtId="177" fontId="12" fillId="0" borderId="43" xfId="0" applyNumberFormat="1" applyFont="1" applyBorder="1" applyAlignment="1">
      <alignment vertical="center" shrinkToFit="1"/>
    </xf>
    <xf numFmtId="0" fontId="4" fillId="3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center" vertical="center" shrinkToFit="1"/>
    </xf>
    <xf numFmtId="0" fontId="15" fillId="0" borderId="22" xfId="0" applyFont="1" applyFill="1" applyBorder="1" applyAlignment="1">
      <alignment horizontal="center" vertical="center" shrinkToFit="1"/>
    </xf>
    <xf numFmtId="178" fontId="15" fillId="0" borderId="6" xfId="0" applyNumberFormat="1" applyFont="1" applyFill="1" applyBorder="1" applyAlignment="1">
      <alignment horizontal="right" vertical="center" shrinkToFit="1"/>
    </xf>
    <xf numFmtId="178" fontId="15" fillId="0" borderId="24" xfId="0" applyNumberFormat="1" applyFont="1" applyFill="1" applyBorder="1" applyAlignment="1">
      <alignment horizontal="right" vertical="center" shrinkToFit="1"/>
    </xf>
    <xf numFmtId="178" fontId="10" fillId="0" borderId="17" xfId="0" applyNumberFormat="1" applyFont="1" applyFill="1" applyBorder="1" applyAlignment="1">
      <alignment horizontal="right" vertical="center" shrinkToFit="1"/>
    </xf>
    <xf numFmtId="178" fontId="10" fillId="0" borderId="18" xfId="0" applyNumberFormat="1" applyFont="1" applyFill="1" applyBorder="1" applyAlignment="1">
      <alignment horizontal="right" vertical="center" shrinkToFit="1"/>
    </xf>
    <xf numFmtId="178" fontId="10" fillId="0" borderId="19" xfId="0" applyNumberFormat="1" applyFont="1" applyFill="1" applyBorder="1" applyAlignment="1">
      <alignment horizontal="right" vertical="center" shrinkToFit="1"/>
    </xf>
    <xf numFmtId="179" fontId="8" fillId="2" borderId="27" xfId="0" applyNumberFormat="1" applyFont="1" applyFill="1" applyBorder="1" applyAlignment="1">
      <alignment horizontal="right" vertical="center" shrinkToFit="1"/>
    </xf>
    <xf numFmtId="179" fontId="8" fillId="2" borderId="29" xfId="0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178" fontId="10" fillId="0" borderId="27" xfId="0" applyNumberFormat="1" applyFont="1" applyBorder="1" applyAlignment="1">
      <alignment horizontal="right" vertical="center" shrinkToFit="1"/>
    </xf>
    <xf numFmtId="178" fontId="10" fillId="0" borderId="28" xfId="0" applyNumberFormat="1" applyFont="1" applyBorder="1" applyAlignment="1">
      <alignment horizontal="right" vertical="center" shrinkToFit="1"/>
    </xf>
    <xf numFmtId="178" fontId="10" fillId="0" borderId="29" xfId="0" applyNumberFormat="1" applyFont="1" applyBorder="1" applyAlignment="1">
      <alignment horizontal="right" vertical="center" shrinkToFit="1"/>
    </xf>
    <xf numFmtId="178" fontId="10" fillId="3" borderId="27" xfId="0" applyNumberFormat="1" applyFont="1" applyFill="1" applyBorder="1" applyAlignment="1">
      <alignment horizontal="right" vertical="center" shrinkToFit="1"/>
    </xf>
    <xf numFmtId="178" fontId="10" fillId="3" borderId="28" xfId="0" applyNumberFormat="1" applyFont="1" applyFill="1" applyBorder="1" applyAlignment="1">
      <alignment horizontal="right" vertical="center" shrinkToFit="1"/>
    </xf>
    <xf numFmtId="178" fontId="10" fillId="3" borderId="29" xfId="0" applyNumberFormat="1" applyFont="1" applyFill="1" applyBorder="1" applyAlignment="1">
      <alignment horizontal="right" vertical="center" shrinkToFit="1"/>
    </xf>
    <xf numFmtId="178" fontId="15" fillId="0" borderId="8" xfId="0" applyNumberFormat="1" applyFont="1" applyFill="1" applyBorder="1" applyAlignment="1">
      <alignment horizontal="right" vertical="center" shrinkToFit="1"/>
    </xf>
    <xf numFmtId="178" fontId="15" fillId="0" borderId="26" xfId="0" applyNumberFormat="1" applyFont="1" applyFill="1" applyBorder="1" applyAlignment="1">
      <alignment horizontal="right" vertical="center" shrinkToFit="1"/>
    </xf>
    <xf numFmtId="178" fontId="15" fillId="0" borderId="18" xfId="0" applyNumberFormat="1" applyFont="1" applyFill="1" applyBorder="1" applyAlignment="1">
      <alignment horizontal="right" vertical="center" shrinkToFit="1"/>
    </xf>
    <xf numFmtId="178" fontId="15" fillId="0" borderId="19" xfId="0" applyNumberFormat="1" applyFont="1" applyFill="1" applyBorder="1" applyAlignment="1">
      <alignment horizontal="right" vertical="center" shrinkToFit="1"/>
    </xf>
    <xf numFmtId="0" fontId="4" fillId="4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right" vertical="center"/>
    </xf>
    <xf numFmtId="178" fontId="10" fillId="4" borderId="27" xfId="0" applyNumberFormat="1" applyFont="1" applyFill="1" applyBorder="1" applyAlignment="1">
      <alignment horizontal="right" vertical="center" shrinkToFit="1"/>
    </xf>
    <xf numFmtId="178" fontId="10" fillId="4" borderId="28" xfId="0" applyNumberFormat="1" applyFont="1" applyFill="1" applyBorder="1" applyAlignment="1">
      <alignment horizontal="right" vertical="center" shrinkToFit="1"/>
    </xf>
    <xf numFmtId="178" fontId="10" fillId="4" borderId="29" xfId="0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D5FF"/>
      <color rgb="FF0000FF"/>
      <color rgb="FFFFCCFF"/>
      <color rgb="FFFFAFFF"/>
      <color rgb="FFFFE5FF"/>
      <color rgb="FFFFCCCC"/>
      <color rgb="FFCC99FF"/>
      <color rgb="FF996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108855</xdr:colOff>
      <xdr:row>0</xdr:row>
      <xdr:rowOff>1</xdr:rowOff>
    </xdr:from>
    <xdr:to>
      <xdr:col>31</xdr:col>
      <xdr:colOff>680355</xdr:colOff>
      <xdr:row>29</xdr:row>
      <xdr:rowOff>40822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42CD40-A50A-4711-AA02-B76B6833F63F}"/>
            </a:ext>
          </a:extLst>
        </xdr:cNvPr>
        <xdr:cNvSpPr/>
      </xdr:nvSpPr>
      <xdr:spPr>
        <a:xfrm>
          <a:off x="8667748" y="1"/>
          <a:ext cx="8844643" cy="61912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149678</xdr:colOff>
      <xdr:row>0</xdr:row>
      <xdr:rowOff>13608</xdr:rowOff>
    </xdr:from>
    <xdr:to>
      <xdr:col>30</xdr:col>
      <xdr:colOff>489857</xdr:colOff>
      <xdr:row>29</xdr:row>
      <xdr:rowOff>16811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762BAA-0B91-4D81-A11B-CE89E6B24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7428" y="13608"/>
          <a:ext cx="7824108" cy="6153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32</xdr:col>
      <xdr:colOff>13607</xdr:colOff>
      <xdr:row>29</xdr:row>
      <xdr:rowOff>81643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24CE74-E4D3-41A2-BA8D-F16C1948E541}"/>
            </a:ext>
          </a:extLst>
        </xdr:cNvPr>
        <xdr:cNvSpPr/>
      </xdr:nvSpPr>
      <xdr:spPr>
        <a:xfrm>
          <a:off x="8654143" y="0"/>
          <a:ext cx="8858250" cy="621846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0</xdr:colOff>
      <xdr:row>0</xdr:row>
      <xdr:rowOff>0</xdr:rowOff>
    </xdr:from>
    <xdr:to>
      <xdr:col>30</xdr:col>
      <xdr:colOff>420714</xdr:colOff>
      <xdr:row>29</xdr:row>
      <xdr:rowOff>54429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8E15A8F-D9EE-4C64-8365-FC00DF9DE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4143" y="0"/>
          <a:ext cx="7904642" cy="619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X57"/>
  <sheetViews>
    <sheetView tabSelected="1" view="pageBreakPreview" zoomScale="70" zoomScaleNormal="85" zoomScaleSheetLayoutView="70" workbookViewId="0">
      <selection activeCell="Z39" sqref="Z39"/>
    </sheetView>
  </sheetViews>
  <sheetFormatPr defaultRowHeight="13.5" x14ac:dyDescent="0.15"/>
  <cols>
    <col min="1" max="2" width="1.25" customWidth="1"/>
    <col min="3" max="3" width="3.75" style="4" customWidth="1"/>
    <col min="4" max="4" width="13.875" style="5" bestFit="1" customWidth="1"/>
    <col min="5" max="5" width="11.25" style="3" customWidth="1"/>
    <col min="6" max="6" width="2.5" style="4" customWidth="1"/>
    <col min="7" max="7" width="6.25" style="4" customWidth="1"/>
    <col min="8" max="8" width="2.5" style="4" customWidth="1"/>
    <col min="9" max="9" width="13.75" style="4" customWidth="1"/>
    <col min="10" max="10" width="3.125" style="6" customWidth="1"/>
    <col min="11" max="11" width="13.875" style="7" customWidth="1"/>
    <col min="12" max="12" width="11.25" style="8" customWidth="1"/>
    <col min="13" max="13" width="2.5" style="6" customWidth="1"/>
    <col min="14" max="14" width="6.25" style="6" customWidth="1"/>
    <col min="15" max="15" width="2.5" style="6" customWidth="1"/>
    <col min="16" max="16" width="13.75" style="6" customWidth="1"/>
    <col min="17" max="17" width="1.25" style="6" customWidth="1"/>
    <col min="18" max="18" width="1.25" style="4" customWidth="1"/>
    <col min="19" max="19" width="1.375" customWidth="1"/>
  </cols>
  <sheetData>
    <row r="1" spans="1:24" ht="30" customHeight="1" x14ac:dyDescent="0.15">
      <c r="A1" s="190" t="s">
        <v>39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2" spans="1:24" s="2" customFormat="1" ht="15" customHeight="1" thickBot="1" x14ac:dyDescent="0.2">
      <c r="C2" s="21"/>
      <c r="D2" s="21"/>
      <c r="E2" s="21"/>
      <c r="F2" s="21"/>
      <c r="G2" s="21"/>
      <c r="H2" s="21"/>
      <c r="I2" s="21"/>
      <c r="J2" s="22"/>
      <c r="K2" s="23"/>
      <c r="L2" s="24"/>
      <c r="M2" s="22"/>
      <c r="N2" s="22"/>
      <c r="O2" s="22"/>
      <c r="P2" s="22"/>
      <c r="Q2" s="22"/>
      <c r="R2" s="16"/>
    </row>
    <row r="3" spans="1:24" ht="15" customHeight="1" thickBot="1" x14ac:dyDescent="0.2">
      <c r="B3" s="87"/>
      <c r="C3" s="88"/>
      <c r="D3" s="89"/>
      <c r="E3" s="90"/>
      <c r="F3" s="91"/>
      <c r="G3" s="91"/>
      <c r="H3" s="91"/>
      <c r="I3" s="91"/>
      <c r="J3" s="92"/>
      <c r="K3" s="92"/>
      <c r="L3" s="92"/>
      <c r="M3" s="92"/>
      <c r="N3" s="92"/>
      <c r="O3" s="92"/>
      <c r="P3" s="92"/>
      <c r="Q3" s="107"/>
    </row>
    <row r="4" spans="1:24" ht="27" customHeight="1" thickBot="1" x14ac:dyDescent="0.2">
      <c r="B4" s="94"/>
      <c r="C4" s="85"/>
      <c r="D4" s="98" t="s">
        <v>37</v>
      </c>
      <c r="E4" s="200">
        <v>40</v>
      </c>
      <c r="F4" s="201"/>
      <c r="G4" s="112" t="s">
        <v>41</v>
      </c>
      <c r="H4" s="85"/>
      <c r="I4" s="85"/>
      <c r="J4" s="86"/>
      <c r="K4" s="86"/>
      <c r="L4" s="86"/>
      <c r="M4" s="86"/>
      <c r="N4" s="86"/>
      <c r="O4" s="86"/>
      <c r="P4" s="86"/>
      <c r="Q4" s="108"/>
    </row>
    <row r="5" spans="1:24" ht="15" customHeight="1" thickBot="1" x14ac:dyDescent="0.2">
      <c r="B5" s="94"/>
      <c r="C5" s="85"/>
      <c r="D5" s="84"/>
      <c r="E5" s="97"/>
      <c r="F5" s="85"/>
      <c r="G5" s="85"/>
      <c r="H5" s="85"/>
      <c r="I5" s="85"/>
      <c r="J5" s="86"/>
      <c r="K5" s="86"/>
      <c r="L5" s="86"/>
      <c r="M5" s="86"/>
      <c r="N5" s="86"/>
      <c r="O5" s="86"/>
      <c r="P5" s="86"/>
      <c r="Q5" s="108"/>
    </row>
    <row r="6" spans="1:24" ht="27" customHeight="1" thickBot="1" x14ac:dyDescent="0.2">
      <c r="B6" s="94"/>
      <c r="C6" s="85"/>
      <c r="G6" s="85"/>
      <c r="H6" s="202" t="s">
        <v>32</v>
      </c>
      <c r="I6" s="202"/>
      <c r="J6" s="202"/>
      <c r="K6" s="202"/>
      <c r="L6" s="202"/>
      <c r="M6" s="204">
        <f>I26</f>
        <v>5508</v>
      </c>
      <c r="N6" s="205"/>
      <c r="O6" s="206"/>
      <c r="P6" s="86"/>
      <c r="Q6" s="108"/>
    </row>
    <row r="7" spans="1:24" ht="27" customHeight="1" thickBot="1" x14ac:dyDescent="0.2">
      <c r="B7" s="94"/>
      <c r="C7" s="85"/>
      <c r="D7" s="99"/>
      <c r="E7" s="26"/>
      <c r="F7" s="85"/>
      <c r="G7" s="85"/>
      <c r="H7" s="203" t="s">
        <v>33</v>
      </c>
      <c r="I7" s="203"/>
      <c r="J7" s="203"/>
      <c r="K7" s="203"/>
      <c r="L7" s="203"/>
      <c r="M7" s="207">
        <f>P26</f>
        <v>6721</v>
      </c>
      <c r="N7" s="208"/>
      <c r="O7" s="209"/>
      <c r="P7" s="86"/>
      <c r="Q7" s="108"/>
    </row>
    <row r="8" spans="1:24" ht="27" customHeight="1" thickBot="1" x14ac:dyDescent="0.2">
      <c r="B8" s="94"/>
      <c r="C8" s="85"/>
      <c r="D8" s="99"/>
      <c r="E8" s="26"/>
      <c r="F8" s="85"/>
      <c r="G8" s="85"/>
      <c r="H8" s="202" t="s">
        <v>34</v>
      </c>
      <c r="I8" s="202"/>
      <c r="J8" s="202"/>
      <c r="K8" s="202"/>
      <c r="L8" s="202"/>
      <c r="M8" s="197">
        <f>M7-M6</f>
        <v>1213</v>
      </c>
      <c r="N8" s="198"/>
      <c r="O8" s="199"/>
      <c r="P8" s="86"/>
      <c r="Q8" s="108"/>
    </row>
    <row r="9" spans="1:24" ht="15" customHeight="1" thickBot="1" x14ac:dyDescent="0.2">
      <c r="B9" s="96"/>
      <c r="C9" s="100"/>
      <c r="D9" s="101"/>
      <c r="E9" s="102"/>
      <c r="F9" s="100"/>
      <c r="G9" s="100"/>
      <c r="H9" s="100"/>
      <c r="I9" s="100"/>
      <c r="J9" s="104"/>
      <c r="K9" s="104"/>
      <c r="L9" s="104"/>
      <c r="M9" s="104"/>
      <c r="N9" s="104"/>
      <c r="O9" s="104"/>
      <c r="P9" s="104"/>
      <c r="Q9" s="109"/>
    </row>
    <row r="10" spans="1:24" ht="15" customHeight="1" x14ac:dyDescent="0.15">
      <c r="L10" s="28"/>
      <c r="M10" s="22"/>
      <c r="N10" s="29"/>
      <c r="O10" s="22"/>
      <c r="P10" s="22"/>
      <c r="Q10" s="22"/>
    </row>
    <row r="11" spans="1:24" ht="18.75" x14ac:dyDescent="0.15">
      <c r="A11" s="114"/>
      <c r="B11" s="114"/>
      <c r="C11" s="115"/>
      <c r="D11" s="116" t="s">
        <v>42</v>
      </c>
      <c r="E11" s="117"/>
      <c r="F11" s="118"/>
      <c r="G11" s="119"/>
      <c r="H11" s="118"/>
      <c r="I11" s="118"/>
      <c r="J11" s="118"/>
      <c r="K11" s="116" t="s">
        <v>43</v>
      </c>
      <c r="L11" s="120"/>
      <c r="M11" s="121"/>
      <c r="N11" s="122"/>
      <c r="O11" s="121"/>
      <c r="P11" s="121"/>
      <c r="Q11" s="115"/>
      <c r="R11" s="123"/>
    </row>
    <row r="12" spans="1:24" x14ac:dyDescent="0.15">
      <c r="D12" s="4"/>
      <c r="E12" s="4"/>
      <c r="F12" s="9"/>
      <c r="G12" s="124">
        <f>SUM(G13:G23)</f>
        <v>40</v>
      </c>
      <c r="H12" s="125"/>
      <c r="I12" s="125"/>
      <c r="J12" s="31"/>
      <c r="K12" s="31"/>
      <c r="L12" s="31"/>
      <c r="M12" s="20"/>
      <c r="N12" s="126">
        <f>SUM(N13:N23)</f>
        <v>40</v>
      </c>
      <c r="O12" s="31"/>
      <c r="P12" s="31"/>
      <c r="Q12" s="31"/>
    </row>
    <row r="13" spans="1:24" ht="14.25" x14ac:dyDescent="0.15">
      <c r="D13" s="127" t="s">
        <v>44</v>
      </c>
      <c r="E13" s="128">
        <v>1860</v>
      </c>
      <c r="F13" s="129"/>
      <c r="G13" s="130"/>
      <c r="H13" s="129"/>
      <c r="I13" s="131">
        <f>E13</f>
        <v>1860</v>
      </c>
      <c r="J13" s="13"/>
      <c r="K13" s="127" t="s">
        <v>44</v>
      </c>
      <c r="L13" s="132">
        <v>2232</v>
      </c>
      <c r="M13" s="129"/>
      <c r="N13" s="130"/>
      <c r="O13" s="133"/>
      <c r="P13" s="134">
        <f>L13</f>
        <v>2232</v>
      </c>
      <c r="Q13" s="135"/>
    </row>
    <row r="14" spans="1:24" ht="14.25" x14ac:dyDescent="0.15">
      <c r="D14" s="136" t="s">
        <v>45</v>
      </c>
      <c r="E14" s="137">
        <v>0</v>
      </c>
      <c r="F14" s="138"/>
      <c r="G14" s="139">
        <f>MAX(IF($E$4-0&gt;8,8,$E$4-0),0)</f>
        <v>8</v>
      </c>
      <c r="H14" s="138"/>
      <c r="I14" s="140">
        <f>E14*G14</f>
        <v>0</v>
      </c>
      <c r="J14" s="13"/>
      <c r="K14" s="136" t="s">
        <v>45</v>
      </c>
      <c r="L14" s="141">
        <v>5</v>
      </c>
      <c r="M14" s="145" t="s">
        <v>47</v>
      </c>
      <c r="N14" s="139">
        <f>MAX(IF($E$4-0&gt;8,8,$E$4-0),0)</f>
        <v>8</v>
      </c>
      <c r="O14" s="142"/>
      <c r="P14" s="143">
        <f>L14*N14</f>
        <v>40</v>
      </c>
      <c r="Q14" s="135"/>
    </row>
    <row r="15" spans="1:24" ht="14.25" x14ac:dyDescent="0.15">
      <c r="D15" s="136" t="s">
        <v>46</v>
      </c>
      <c r="E15" s="137">
        <v>0</v>
      </c>
      <c r="F15" s="138"/>
      <c r="G15" s="139">
        <f>MAX(IF($E$4-8&gt;8,8,$E$4-8),0)</f>
        <v>8</v>
      </c>
      <c r="H15" s="138"/>
      <c r="I15" s="140">
        <f>E15*G15</f>
        <v>0</v>
      </c>
      <c r="J15" s="13"/>
      <c r="K15" s="136" t="s">
        <v>46</v>
      </c>
      <c r="L15" s="141">
        <v>10</v>
      </c>
      <c r="M15" s="145" t="s">
        <v>47</v>
      </c>
      <c r="N15" s="139">
        <f>MAX(IF($E$4-8&gt;8,8,$E$4-8),0)</f>
        <v>8</v>
      </c>
      <c r="O15" s="142"/>
      <c r="P15" s="143">
        <f>L15*N15</f>
        <v>80</v>
      </c>
      <c r="Q15" s="135"/>
    </row>
    <row r="16" spans="1:24" s="4" customFormat="1" ht="14.25" x14ac:dyDescent="0.15">
      <c r="A16"/>
      <c r="B16"/>
      <c r="D16" s="136" t="s">
        <v>21</v>
      </c>
      <c r="E16" s="144">
        <v>127</v>
      </c>
      <c r="F16" s="145" t="s">
        <v>10</v>
      </c>
      <c r="G16" s="146">
        <f>MAX(IF($E$4-16&gt;14,14,$E$4-16),0)</f>
        <v>14</v>
      </c>
      <c r="H16" s="145" t="s">
        <v>11</v>
      </c>
      <c r="I16" s="140">
        <f>E16*G16</f>
        <v>1778</v>
      </c>
      <c r="J16" s="13"/>
      <c r="K16" s="136" t="s">
        <v>21</v>
      </c>
      <c r="L16" s="147">
        <v>152</v>
      </c>
      <c r="M16" s="145" t="s">
        <v>47</v>
      </c>
      <c r="N16" s="146">
        <f>MAX(IF($E$4-16&gt;14,14,$E$4-16),0)</f>
        <v>14</v>
      </c>
      <c r="O16" s="148" t="s">
        <v>11</v>
      </c>
      <c r="P16" s="143">
        <f>L16*N16</f>
        <v>2128</v>
      </c>
      <c r="Q16" s="135"/>
      <c r="S16"/>
      <c r="T16"/>
      <c r="U16"/>
      <c r="V16"/>
      <c r="W16"/>
      <c r="X16"/>
    </row>
    <row r="17" spans="1:24" s="4" customFormat="1" ht="14.25" x14ac:dyDescent="0.15">
      <c r="A17"/>
      <c r="B17"/>
      <c r="D17" s="136" t="s">
        <v>22</v>
      </c>
      <c r="E17" s="144">
        <v>137</v>
      </c>
      <c r="F17" s="145" t="s">
        <v>10</v>
      </c>
      <c r="G17" s="146">
        <f>MAX(IF($E$4-30&gt;10,10,$E$4-30),0)</f>
        <v>10</v>
      </c>
      <c r="H17" s="145" t="s">
        <v>11</v>
      </c>
      <c r="I17" s="140">
        <f t="shared" ref="I17:I23" si="0">E17*G17</f>
        <v>1370</v>
      </c>
      <c r="J17" s="13"/>
      <c r="K17" s="136" t="s">
        <v>22</v>
      </c>
      <c r="L17" s="147">
        <v>163</v>
      </c>
      <c r="M17" s="145" t="s">
        <v>47</v>
      </c>
      <c r="N17" s="146">
        <f>MAX(IF($E$4-30&gt;10,10,$E$4-30),0)</f>
        <v>10</v>
      </c>
      <c r="O17" s="148" t="s">
        <v>11</v>
      </c>
      <c r="P17" s="143">
        <f t="shared" ref="P17:P23" si="1">L17*N17</f>
        <v>1630</v>
      </c>
      <c r="Q17" s="135"/>
      <c r="S17"/>
      <c r="T17"/>
      <c r="U17"/>
      <c r="V17"/>
      <c r="W17"/>
      <c r="X17"/>
    </row>
    <row r="18" spans="1:24" s="4" customFormat="1" ht="14.25" x14ac:dyDescent="0.15">
      <c r="A18"/>
      <c r="B18"/>
      <c r="D18" s="136" t="s">
        <v>23</v>
      </c>
      <c r="E18" s="144">
        <v>149</v>
      </c>
      <c r="F18" s="145" t="s">
        <v>10</v>
      </c>
      <c r="G18" s="146">
        <f>MAX(IF($E$4-40&gt;20,20,$E$4-40),0)</f>
        <v>0</v>
      </c>
      <c r="H18" s="145" t="s">
        <v>11</v>
      </c>
      <c r="I18" s="140">
        <f t="shared" si="0"/>
        <v>0</v>
      </c>
      <c r="J18" s="13"/>
      <c r="K18" s="136" t="s">
        <v>23</v>
      </c>
      <c r="L18" s="147">
        <v>176</v>
      </c>
      <c r="M18" s="145" t="s">
        <v>47</v>
      </c>
      <c r="N18" s="146">
        <f>MAX(IF($E$4-40&gt;20,20,$E$4-40),0)</f>
        <v>0</v>
      </c>
      <c r="O18" s="148" t="s">
        <v>11</v>
      </c>
      <c r="P18" s="143">
        <f t="shared" si="1"/>
        <v>0</v>
      </c>
      <c r="Q18" s="135"/>
      <c r="S18"/>
      <c r="T18"/>
      <c r="U18"/>
      <c r="V18"/>
      <c r="W18"/>
      <c r="X18"/>
    </row>
    <row r="19" spans="1:24" s="4" customFormat="1" ht="14.25" x14ac:dyDescent="0.15">
      <c r="A19"/>
      <c r="B19"/>
      <c r="D19" s="136" t="s">
        <v>24</v>
      </c>
      <c r="E19" s="144">
        <v>165</v>
      </c>
      <c r="F19" s="145" t="s">
        <v>10</v>
      </c>
      <c r="G19" s="146">
        <f>MAX(IF($E$4-60&gt;40,40,$E$4-60),0)</f>
        <v>0</v>
      </c>
      <c r="H19" s="145" t="s">
        <v>11</v>
      </c>
      <c r="I19" s="140">
        <f t="shared" si="0"/>
        <v>0</v>
      </c>
      <c r="J19" s="13"/>
      <c r="K19" s="136" t="s">
        <v>24</v>
      </c>
      <c r="L19" s="147">
        <v>193</v>
      </c>
      <c r="M19" s="145" t="s">
        <v>47</v>
      </c>
      <c r="N19" s="146">
        <f>MAX(IF($E$4-60&gt;40,40,$E$4-60),0)</f>
        <v>0</v>
      </c>
      <c r="O19" s="148" t="s">
        <v>11</v>
      </c>
      <c r="P19" s="143">
        <f t="shared" si="1"/>
        <v>0</v>
      </c>
      <c r="Q19" s="135"/>
      <c r="S19"/>
      <c r="T19"/>
      <c r="U19"/>
      <c r="V19"/>
      <c r="W19"/>
      <c r="X19"/>
    </row>
    <row r="20" spans="1:24" s="4" customFormat="1" ht="14.25" x14ac:dyDescent="0.15">
      <c r="A20"/>
      <c r="B20"/>
      <c r="D20" s="136" t="s">
        <v>25</v>
      </c>
      <c r="E20" s="144">
        <v>186</v>
      </c>
      <c r="F20" s="145" t="s">
        <v>10</v>
      </c>
      <c r="G20" s="146">
        <f>MAX(IF($E$4-100&gt;100,100,$E$4-100),0)</f>
        <v>0</v>
      </c>
      <c r="H20" s="145" t="s">
        <v>11</v>
      </c>
      <c r="I20" s="140">
        <f t="shared" si="0"/>
        <v>0</v>
      </c>
      <c r="J20" s="13"/>
      <c r="K20" s="136" t="s">
        <v>25</v>
      </c>
      <c r="L20" s="147">
        <v>216</v>
      </c>
      <c r="M20" s="145" t="s">
        <v>47</v>
      </c>
      <c r="N20" s="146">
        <f>MAX(IF($E$4-100&gt;100,100,$E$4-100),0)</f>
        <v>0</v>
      </c>
      <c r="O20" s="148" t="s">
        <v>11</v>
      </c>
      <c r="P20" s="143">
        <f t="shared" si="1"/>
        <v>0</v>
      </c>
      <c r="Q20" s="135"/>
      <c r="S20"/>
      <c r="T20"/>
      <c r="U20"/>
      <c r="V20"/>
      <c r="W20"/>
      <c r="X20"/>
    </row>
    <row r="21" spans="1:24" s="4" customFormat="1" ht="14.25" x14ac:dyDescent="0.15">
      <c r="A21"/>
      <c r="B21"/>
      <c r="D21" s="136" t="s">
        <v>26</v>
      </c>
      <c r="E21" s="144">
        <v>243</v>
      </c>
      <c r="F21" s="145" t="s">
        <v>10</v>
      </c>
      <c r="G21" s="146">
        <f>MAX(IF($E$4-200&gt;400,400,$E$4-200),0)</f>
        <v>0</v>
      </c>
      <c r="H21" s="145" t="s">
        <v>11</v>
      </c>
      <c r="I21" s="140">
        <f t="shared" si="0"/>
        <v>0</v>
      </c>
      <c r="J21" s="13"/>
      <c r="K21" s="136" t="s">
        <v>26</v>
      </c>
      <c r="L21" s="147">
        <v>280</v>
      </c>
      <c r="M21" s="145" t="s">
        <v>47</v>
      </c>
      <c r="N21" s="146">
        <f>MAX(IF($E$4-200&gt;400,400,$E$4-200),0)</f>
        <v>0</v>
      </c>
      <c r="O21" s="148" t="s">
        <v>11</v>
      </c>
      <c r="P21" s="143">
        <f t="shared" si="1"/>
        <v>0</v>
      </c>
      <c r="Q21" s="135"/>
      <c r="S21"/>
      <c r="T21"/>
      <c r="U21"/>
      <c r="V21"/>
      <c r="W21"/>
      <c r="X21"/>
    </row>
    <row r="22" spans="1:24" s="4" customFormat="1" ht="14.25" x14ac:dyDescent="0.15">
      <c r="A22"/>
      <c r="B22"/>
      <c r="D22" s="136" t="s">
        <v>27</v>
      </c>
      <c r="E22" s="144">
        <v>302</v>
      </c>
      <c r="F22" s="145" t="s">
        <v>10</v>
      </c>
      <c r="G22" s="146">
        <f>MAX(IF($E$4-600&gt;1400,1400,$E$4-600),0)</f>
        <v>0</v>
      </c>
      <c r="H22" s="145" t="s">
        <v>11</v>
      </c>
      <c r="I22" s="140">
        <f t="shared" si="0"/>
        <v>0</v>
      </c>
      <c r="J22" s="13"/>
      <c r="K22" s="136" t="s">
        <v>27</v>
      </c>
      <c r="L22" s="147">
        <v>344</v>
      </c>
      <c r="M22" s="145" t="s">
        <v>47</v>
      </c>
      <c r="N22" s="146">
        <f>MAX(IF($E$4-600&gt;1400,1400,$E$4-600),0)</f>
        <v>0</v>
      </c>
      <c r="O22" s="148" t="s">
        <v>11</v>
      </c>
      <c r="P22" s="143">
        <f t="shared" si="1"/>
        <v>0</v>
      </c>
      <c r="Q22" s="135"/>
      <c r="S22"/>
      <c r="T22"/>
      <c r="U22"/>
      <c r="V22"/>
      <c r="W22"/>
      <c r="X22"/>
    </row>
    <row r="23" spans="1:24" s="4" customFormat="1" ht="15" thickBot="1" x14ac:dyDescent="0.2">
      <c r="A23"/>
      <c r="B23"/>
      <c r="D23" s="149" t="s">
        <v>28</v>
      </c>
      <c r="E23" s="150">
        <v>364</v>
      </c>
      <c r="F23" s="151" t="s">
        <v>10</v>
      </c>
      <c r="G23" s="152">
        <f>MAX($E$4-2000,0)</f>
        <v>0</v>
      </c>
      <c r="H23" s="151" t="s">
        <v>11</v>
      </c>
      <c r="I23" s="153">
        <f t="shared" si="0"/>
        <v>0</v>
      </c>
      <c r="J23" s="13"/>
      <c r="K23" s="149" t="s">
        <v>28</v>
      </c>
      <c r="L23" s="154">
        <v>411</v>
      </c>
      <c r="M23" s="151" t="s">
        <v>47</v>
      </c>
      <c r="N23" s="152">
        <f>MAX($E$4-2000,0)</f>
        <v>0</v>
      </c>
      <c r="O23" s="155" t="s">
        <v>11</v>
      </c>
      <c r="P23" s="156">
        <f t="shared" si="1"/>
        <v>0</v>
      </c>
      <c r="Q23" s="135"/>
      <c r="S23"/>
      <c r="T23"/>
      <c r="U23"/>
      <c r="V23"/>
      <c r="W23"/>
      <c r="X23"/>
    </row>
    <row r="24" spans="1:24" s="4" customFormat="1" ht="15" thickTop="1" x14ac:dyDescent="0.15">
      <c r="A24"/>
      <c r="B24"/>
      <c r="D24" s="19"/>
      <c r="E24" s="157"/>
      <c r="F24" s="158"/>
      <c r="G24" s="159" t="s">
        <v>12</v>
      </c>
      <c r="H24" s="158"/>
      <c r="I24" s="160">
        <f>SUM(I13:I23)</f>
        <v>5008</v>
      </c>
      <c r="J24" s="13"/>
      <c r="K24" s="161"/>
      <c r="L24" s="162"/>
      <c r="M24" s="13"/>
      <c r="N24" s="163" t="s">
        <v>12</v>
      </c>
      <c r="O24" s="13"/>
      <c r="P24" s="160">
        <f>SUM(P13:P23)</f>
        <v>6110</v>
      </c>
      <c r="Q24" s="135"/>
      <c r="S24"/>
      <c r="T24"/>
      <c r="U24"/>
      <c r="V24"/>
      <c r="W24"/>
      <c r="X24"/>
    </row>
    <row r="25" spans="1:24" s="4" customFormat="1" ht="14.25" x14ac:dyDescent="0.15">
      <c r="A25"/>
      <c r="B25"/>
      <c r="D25" s="19"/>
      <c r="E25" s="157"/>
      <c r="F25" s="158"/>
      <c r="G25" s="159" t="s">
        <v>38</v>
      </c>
      <c r="H25" s="158"/>
      <c r="I25" s="160">
        <f>ROUNDDOWN(I24*0.1,0)</f>
        <v>500</v>
      </c>
      <c r="J25" s="13"/>
      <c r="K25" s="161"/>
      <c r="L25" s="162"/>
      <c r="M25" s="13"/>
      <c r="N25" s="163" t="s">
        <v>38</v>
      </c>
      <c r="O25" s="13"/>
      <c r="P25" s="160">
        <f>ROUNDDOWN(P24*0.1,0)</f>
        <v>611</v>
      </c>
      <c r="Q25" s="135"/>
      <c r="S25"/>
      <c r="T25"/>
      <c r="U25"/>
      <c r="V25"/>
      <c r="W25"/>
      <c r="X25"/>
    </row>
    <row r="26" spans="1:24" s="4" customFormat="1" ht="14.25" x14ac:dyDescent="0.15">
      <c r="A26"/>
      <c r="B26"/>
      <c r="D26" s="164"/>
      <c r="E26" s="165"/>
      <c r="F26" s="166"/>
      <c r="G26" s="111" t="s">
        <v>0</v>
      </c>
      <c r="H26" s="166"/>
      <c r="I26" s="167">
        <f>I24+I25</f>
        <v>5508</v>
      </c>
      <c r="J26" s="13"/>
      <c r="K26" s="168"/>
      <c r="L26" s="169"/>
      <c r="M26" s="170"/>
      <c r="N26" s="171" t="s">
        <v>0</v>
      </c>
      <c r="O26" s="170"/>
      <c r="P26" s="167">
        <f>P24+P25</f>
        <v>6721</v>
      </c>
      <c r="Q26" s="135"/>
      <c r="S26"/>
      <c r="T26"/>
      <c r="U26"/>
      <c r="V26"/>
      <c r="W26"/>
      <c r="X26"/>
    </row>
    <row r="27" spans="1:24" ht="14.25" thickBot="1" x14ac:dyDescent="0.2">
      <c r="D27" s="36"/>
      <c r="E27" s="37"/>
      <c r="F27" s="9"/>
      <c r="G27" s="9"/>
      <c r="H27" s="9"/>
      <c r="I27" s="9"/>
      <c r="J27" s="20"/>
      <c r="K27" s="10"/>
      <c r="L27" s="38"/>
      <c r="M27" s="20"/>
      <c r="N27" s="20"/>
      <c r="O27" s="20"/>
      <c r="P27" s="20"/>
      <c r="Q27" s="20"/>
    </row>
    <row r="28" spans="1:24" x14ac:dyDescent="0.15">
      <c r="D28" s="36"/>
      <c r="E28" s="37"/>
      <c r="F28" s="9"/>
      <c r="G28" s="9"/>
      <c r="H28" s="9"/>
      <c r="I28" s="9"/>
      <c r="J28" s="20"/>
      <c r="K28" s="10"/>
      <c r="L28" s="39" t="s">
        <v>35</v>
      </c>
      <c r="M28" s="191" t="s">
        <v>16</v>
      </c>
      <c r="N28" s="191"/>
      <c r="O28" s="191"/>
      <c r="P28" s="40">
        <f>P24-I24</f>
        <v>1102</v>
      </c>
      <c r="Q28" s="47"/>
    </row>
    <row r="29" spans="1:24" ht="14.25" thickBot="1" x14ac:dyDescent="0.2">
      <c r="D29" s="36"/>
      <c r="E29" s="37"/>
      <c r="F29" s="9"/>
      <c r="G29" s="9"/>
      <c r="H29" s="9"/>
      <c r="I29" s="9"/>
      <c r="J29" s="20"/>
      <c r="K29" s="10"/>
      <c r="L29" s="41"/>
      <c r="M29" s="192" t="s">
        <v>17</v>
      </c>
      <c r="N29" s="192"/>
      <c r="O29" s="192"/>
      <c r="P29" s="42">
        <f>P26-I26</f>
        <v>1213</v>
      </c>
      <c r="Q29" s="47"/>
    </row>
    <row r="30" spans="1:24" x14ac:dyDescent="0.15">
      <c r="D30" s="36"/>
      <c r="E30" s="37"/>
      <c r="F30" s="9"/>
      <c r="G30" s="9"/>
      <c r="H30" s="9"/>
      <c r="I30" s="9"/>
      <c r="J30" s="20"/>
      <c r="K30" s="10"/>
      <c r="L30" s="44"/>
      <c r="M30" s="172"/>
      <c r="N30" s="172"/>
      <c r="O30" s="172"/>
      <c r="P30" s="47"/>
      <c r="Q30" s="47"/>
    </row>
    <row r="31" spans="1:24" ht="14.25" thickBot="1" x14ac:dyDescent="0.2">
      <c r="D31" s="43" t="s">
        <v>36</v>
      </c>
      <c r="E31" s="37"/>
      <c r="F31" s="9"/>
      <c r="G31" s="9"/>
      <c r="H31" s="9"/>
      <c r="I31" s="9"/>
      <c r="J31" s="20"/>
      <c r="K31" s="10"/>
      <c r="L31" s="44"/>
      <c r="M31" s="45"/>
      <c r="N31" s="46"/>
      <c r="O31" s="46"/>
      <c r="P31" s="47"/>
      <c r="Q31" s="47"/>
    </row>
    <row r="32" spans="1:24" x14ac:dyDescent="0.15">
      <c r="D32" s="48"/>
      <c r="E32" s="49"/>
      <c r="F32" s="193" t="s">
        <v>19</v>
      </c>
      <c r="G32" s="193"/>
      <c r="H32" s="194"/>
      <c r="I32" s="20"/>
      <c r="J32" s="10"/>
      <c r="K32" s="38"/>
      <c r="L32" s="20"/>
      <c r="M32" s="20"/>
      <c r="N32" s="20"/>
      <c r="O32" s="20"/>
      <c r="P32" s="20"/>
      <c r="Q32" s="4"/>
      <c r="R32"/>
    </row>
    <row r="33" spans="4:18" x14ac:dyDescent="0.15">
      <c r="D33" s="50" t="s">
        <v>15</v>
      </c>
      <c r="E33" s="51" t="s">
        <v>16</v>
      </c>
      <c r="F33" s="195">
        <f>I24+I53</f>
        <v>10730</v>
      </c>
      <c r="G33" s="195"/>
      <c r="H33" s="196"/>
      <c r="I33" s="20"/>
      <c r="J33" s="10"/>
      <c r="K33" s="38"/>
      <c r="L33" s="20"/>
      <c r="M33" s="20"/>
      <c r="N33" s="20"/>
      <c r="O33" s="20"/>
      <c r="P33" s="20"/>
      <c r="Q33" s="4"/>
      <c r="R33"/>
    </row>
    <row r="34" spans="4:18" x14ac:dyDescent="0.15">
      <c r="D34" s="52"/>
      <c r="E34" s="53" t="s">
        <v>17</v>
      </c>
      <c r="F34" s="210">
        <f>I24+I55</f>
        <v>11302</v>
      </c>
      <c r="G34" s="210"/>
      <c r="H34" s="211"/>
      <c r="I34" s="20"/>
      <c r="J34" s="10"/>
      <c r="K34" s="38"/>
      <c r="L34" s="20"/>
      <c r="M34" s="20"/>
      <c r="N34" s="20"/>
      <c r="O34" s="20"/>
      <c r="P34" s="20"/>
      <c r="Q34" s="4"/>
      <c r="R34"/>
    </row>
    <row r="35" spans="4:18" x14ac:dyDescent="0.15">
      <c r="D35" s="50" t="s">
        <v>18</v>
      </c>
      <c r="E35" s="51" t="s">
        <v>16</v>
      </c>
      <c r="F35" s="195">
        <f>P24+I53</f>
        <v>11832</v>
      </c>
      <c r="G35" s="195"/>
      <c r="H35" s="196"/>
      <c r="I35" s="20"/>
      <c r="J35" s="10"/>
      <c r="K35" s="38"/>
      <c r="L35" s="20"/>
      <c r="M35" s="20"/>
      <c r="N35" s="20"/>
      <c r="O35" s="20"/>
      <c r="P35" s="20"/>
      <c r="Q35" s="4"/>
      <c r="R35"/>
    </row>
    <row r="36" spans="4:18" x14ac:dyDescent="0.15">
      <c r="D36" s="52"/>
      <c r="E36" s="53" t="s">
        <v>17</v>
      </c>
      <c r="F36" s="210">
        <f>P26+I55</f>
        <v>13015</v>
      </c>
      <c r="G36" s="210"/>
      <c r="H36" s="211"/>
      <c r="I36" s="20"/>
      <c r="J36" s="10"/>
      <c r="K36" s="38"/>
      <c r="L36" s="20"/>
      <c r="M36" s="20"/>
      <c r="N36" s="20"/>
      <c r="O36" s="20"/>
      <c r="P36" s="20"/>
      <c r="Q36" s="4"/>
      <c r="R36"/>
    </row>
    <row r="37" spans="4:18" x14ac:dyDescent="0.15">
      <c r="D37" s="54" t="s">
        <v>20</v>
      </c>
      <c r="E37" s="55" t="s">
        <v>16</v>
      </c>
      <c r="F37" s="195">
        <f>F35-F33</f>
        <v>1102</v>
      </c>
      <c r="G37" s="195"/>
      <c r="H37" s="196"/>
      <c r="I37" s="20"/>
      <c r="J37" s="10"/>
      <c r="K37" s="38"/>
      <c r="L37" s="20"/>
      <c r="M37" s="20"/>
      <c r="N37" s="20"/>
      <c r="O37" s="20"/>
      <c r="P37" s="20"/>
      <c r="Q37" s="4"/>
      <c r="R37"/>
    </row>
    <row r="38" spans="4:18" ht="14.25" customHeight="1" thickBot="1" x14ac:dyDescent="0.2">
      <c r="D38" s="56"/>
      <c r="E38" s="57" t="s">
        <v>17</v>
      </c>
      <c r="F38" s="212">
        <f>F36-F34</f>
        <v>1713</v>
      </c>
      <c r="G38" s="212"/>
      <c r="H38" s="213"/>
      <c r="I38" s="20"/>
      <c r="J38" s="10"/>
      <c r="K38" s="38"/>
      <c r="L38" s="20"/>
      <c r="M38" s="20"/>
      <c r="N38" s="20"/>
      <c r="O38" s="20"/>
      <c r="P38" s="20"/>
      <c r="Q38" s="4"/>
      <c r="R38"/>
    </row>
    <row r="39" spans="4:18" x14ac:dyDescent="0.15">
      <c r="K39" s="38"/>
      <c r="L39" s="20"/>
      <c r="M39" s="20"/>
      <c r="N39" s="20"/>
      <c r="O39" s="20"/>
      <c r="P39" s="20"/>
    </row>
    <row r="40" spans="4:18" x14ac:dyDescent="0.15">
      <c r="K40" s="38"/>
      <c r="L40" s="20"/>
      <c r="M40" s="20"/>
      <c r="N40" s="20"/>
      <c r="O40" s="20"/>
      <c r="P40" s="20"/>
    </row>
    <row r="41" spans="4:18" x14ac:dyDescent="0.15">
      <c r="D41" s="58" t="s">
        <v>48</v>
      </c>
      <c r="G41" s="59"/>
      <c r="K41" s="38"/>
      <c r="L41" s="20"/>
      <c r="M41" s="20"/>
      <c r="N41" s="20"/>
      <c r="O41" s="20"/>
      <c r="P41" s="20"/>
      <c r="Q41" s="4"/>
    </row>
    <row r="42" spans="4:18" x14ac:dyDescent="0.15">
      <c r="D42" s="58"/>
      <c r="G42" s="110">
        <f>SUM(G43:G52)</f>
        <v>40</v>
      </c>
      <c r="H42" s="9"/>
      <c r="I42" s="9"/>
      <c r="J42" s="20"/>
      <c r="K42" s="38"/>
      <c r="L42" s="20"/>
      <c r="M42" s="20"/>
      <c r="N42" s="20"/>
      <c r="O42" s="20"/>
      <c r="P42" s="20"/>
      <c r="Q42" s="18"/>
    </row>
    <row r="43" spans="4:18" x14ac:dyDescent="0.15">
      <c r="D43" s="60" t="s">
        <v>1</v>
      </c>
      <c r="E43" s="61">
        <v>1780</v>
      </c>
      <c r="F43" s="62"/>
      <c r="G43" s="33">
        <f>MAX(IF($E$4&gt;8,8,$E$4-8),0)</f>
        <v>8</v>
      </c>
      <c r="H43" s="62"/>
      <c r="I43" s="63">
        <f>E43</f>
        <v>1780</v>
      </c>
      <c r="J43" s="22"/>
      <c r="K43" s="38"/>
      <c r="L43" s="20"/>
      <c r="M43" s="20"/>
      <c r="N43" s="20"/>
      <c r="O43" s="20"/>
      <c r="P43" s="20"/>
      <c r="Q43" s="106"/>
    </row>
    <row r="44" spans="4:18" x14ac:dyDescent="0.15">
      <c r="D44" s="64" t="s">
        <v>46</v>
      </c>
      <c r="E44" s="106">
        <v>20</v>
      </c>
      <c r="F44" s="66" t="s">
        <v>10</v>
      </c>
      <c r="G44" s="34">
        <f>MAX(IF($E$4-8&gt;8,8,$E$4-8),0)</f>
        <v>8</v>
      </c>
      <c r="H44" s="66" t="s">
        <v>11</v>
      </c>
      <c r="I44" s="67">
        <f>E44*G44</f>
        <v>160</v>
      </c>
      <c r="J44" s="22"/>
      <c r="K44" s="38"/>
      <c r="L44" s="20"/>
      <c r="M44" s="20"/>
      <c r="N44" s="20"/>
      <c r="O44" s="20"/>
      <c r="P44" s="20"/>
      <c r="Q44" s="106"/>
    </row>
    <row r="45" spans="4:18" x14ac:dyDescent="0.15">
      <c r="D45" s="64" t="s">
        <v>29</v>
      </c>
      <c r="E45" s="65">
        <v>153</v>
      </c>
      <c r="F45" s="66" t="s">
        <v>10</v>
      </c>
      <c r="G45" s="34">
        <f>MAX(IF($E$4-16&gt;14,14,$E$4-16),0)</f>
        <v>14</v>
      </c>
      <c r="H45" s="66" t="s">
        <v>11</v>
      </c>
      <c r="I45" s="67">
        <f>E45*G45</f>
        <v>2142</v>
      </c>
      <c r="J45" s="22"/>
      <c r="K45" s="38"/>
      <c r="L45" s="20"/>
      <c r="M45" s="20"/>
      <c r="N45" s="20"/>
      <c r="O45" s="20"/>
      <c r="P45" s="20"/>
      <c r="Q45" s="106"/>
    </row>
    <row r="46" spans="4:18" x14ac:dyDescent="0.15">
      <c r="D46" s="64" t="s">
        <v>30</v>
      </c>
      <c r="E46" s="65">
        <v>164</v>
      </c>
      <c r="F46" s="66" t="s">
        <v>10</v>
      </c>
      <c r="G46" s="34">
        <f>MAX(IF($E$4-30&gt;10,10,$E$4-30),0)</f>
        <v>10</v>
      </c>
      <c r="H46" s="66" t="s">
        <v>11</v>
      </c>
      <c r="I46" s="67">
        <f t="shared" ref="I46:I52" si="2">E46*G46</f>
        <v>1640</v>
      </c>
      <c r="J46" s="22"/>
      <c r="K46" s="38"/>
      <c r="L46" s="20"/>
      <c r="M46" s="20"/>
      <c r="N46" s="20"/>
      <c r="O46" s="20"/>
      <c r="P46" s="20"/>
      <c r="Q46" s="106"/>
    </row>
    <row r="47" spans="4:18" x14ac:dyDescent="0.15">
      <c r="D47" s="64" t="s">
        <v>31</v>
      </c>
      <c r="E47" s="65">
        <v>220</v>
      </c>
      <c r="F47" s="66" t="s">
        <v>10</v>
      </c>
      <c r="G47" s="34">
        <f>MAX(IF($E$4-40&gt;20,20,$E$4-40),0)</f>
        <v>0</v>
      </c>
      <c r="H47" s="66" t="s">
        <v>11</v>
      </c>
      <c r="I47" s="67">
        <f t="shared" si="2"/>
        <v>0</v>
      </c>
      <c r="J47" s="22"/>
      <c r="K47" s="38"/>
      <c r="L47" s="20"/>
      <c r="M47" s="20"/>
      <c r="N47" s="20"/>
      <c r="O47" s="20"/>
      <c r="P47" s="20"/>
      <c r="Q47" s="106"/>
    </row>
    <row r="48" spans="4:18" x14ac:dyDescent="0.15">
      <c r="D48" s="64" t="s">
        <v>24</v>
      </c>
      <c r="E48" s="65">
        <v>285</v>
      </c>
      <c r="F48" s="66" t="s">
        <v>10</v>
      </c>
      <c r="G48" s="34">
        <f>MAX(IF($E$4-60&gt;40,40,$E$4-60),0)</f>
        <v>0</v>
      </c>
      <c r="H48" s="66" t="s">
        <v>11</v>
      </c>
      <c r="I48" s="67">
        <f t="shared" si="2"/>
        <v>0</v>
      </c>
      <c r="J48" s="22"/>
      <c r="K48" s="38"/>
      <c r="L48" s="20"/>
      <c r="M48" s="20"/>
      <c r="N48" s="20"/>
      <c r="O48" s="20"/>
      <c r="P48" s="20"/>
      <c r="Q48" s="106"/>
    </row>
    <row r="49" spans="4:17" x14ac:dyDescent="0.15">
      <c r="D49" s="64" t="s">
        <v>25</v>
      </c>
      <c r="E49" s="65">
        <v>310</v>
      </c>
      <c r="F49" s="66" t="s">
        <v>10</v>
      </c>
      <c r="G49" s="34">
        <f>MAX(IF($E$4-100&gt;100,100,$E$4-100),0)</f>
        <v>0</v>
      </c>
      <c r="H49" s="66" t="s">
        <v>11</v>
      </c>
      <c r="I49" s="67">
        <f t="shared" ref="I49:I51" si="3">E49*G49</f>
        <v>0</v>
      </c>
      <c r="J49" s="22"/>
      <c r="K49" s="38"/>
      <c r="L49" s="20"/>
      <c r="M49" s="20"/>
      <c r="N49" s="20"/>
      <c r="O49" s="20"/>
      <c r="P49" s="20"/>
      <c r="Q49" s="106"/>
    </row>
    <row r="50" spans="4:17" x14ac:dyDescent="0.15">
      <c r="D50" s="64" t="s">
        <v>26</v>
      </c>
      <c r="E50" s="65">
        <v>338</v>
      </c>
      <c r="F50" s="66" t="s">
        <v>10</v>
      </c>
      <c r="G50" s="34">
        <f>MAX(IF($E$4-200&gt;400,400,$E$4-200),0)</f>
        <v>0</v>
      </c>
      <c r="H50" s="66" t="s">
        <v>11</v>
      </c>
      <c r="I50" s="67">
        <f t="shared" si="3"/>
        <v>0</v>
      </c>
      <c r="J50" s="22"/>
      <c r="K50" s="38"/>
      <c r="L50" s="20"/>
      <c r="M50" s="20"/>
      <c r="N50" s="20"/>
      <c r="O50" s="20"/>
      <c r="P50" s="20"/>
      <c r="Q50" s="106"/>
    </row>
    <row r="51" spans="4:17" x14ac:dyDescent="0.15">
      <c r="D51" s="64" t="s">
        <v>27</v>
      </c>
      <c r="E51" s="65">
        <v>366</v>
      </c>
      <c r="F51" s="66" t="s">
        <v>10</v>
      </c>
      <c r="G51" s="34">
        <f>MAX(IF($E$4-600&gt;1400,1400,$E$4-600),0)</f>
        <v>0</v>
      </c>
      <c r="H51" s="66" t="s">
        <v>11</v>
      </c>
      <c r="I51" s="67">
        <f t="shared" si="3"/>
        <v>0</v>
      </c>
      <c r="J51" s="22"/>
      <c r="K51" s="38"/>
      <c r="L51" s="20"/>
      <c r="M51" s="20"/>
      <c r="N51" s="20"/>
      <c r="O51" s="20"/>
      <c r="P51" s="20"/>
      <c r="Q51" s="106"/>
    </row>
    <row r="52" spans="4:17" ht="14.25" thickBot="1" x14ac:dyDescent="0.2">
      <c r="D52" s="68" t="s">
        <v>53</v>
      </c>
      <c r="E52" s="69">
        <v>463</v>
      </c>
      <c r="F52" s="70" t="s">
        <v>10</v>
      </c>
      <c r="G52" s="35">
        <f>MAX($E$4-2000,0)</f>
        <v>0</v>
      </c>
      <c r="H52" s="70" t="s">
        <v>11</v>
      </c>
      <c r="I52" s="71">
        <f t="shared" si="2"/>
        <v>0</v>
      </c>
      <c r="J52" s="22"/>
      <c r="K52" s="38"/>
      <c r="L52" s="20"/>
      <c r="M52" s="20"/>
      <c r="N52" s="20"/>
      <c r="O52" s="20"/>
      <c r="P52" s="20"/>
      <c r="Q52" s="106"/>
    </row>
    <row r="53" spans="4:17" ht="14.25" thickTop="1" x14ac:dyDescent="0.15">
      <c r="D53" s="64"/>
      <c r="E53" s="72"/>
      <c r="F53" s="66"/>
      <c r="G53" s="73" t="s">
        <v>12</v>
      </c>
      <c r="H53" s="66"/>
      <c r="I53" s="67">
        <f>SUM(I43:I52)</f>
        <v>5722</v>
      </c>
      <c r="J53" s="22"/>
      <c r="K53" s="38"/>
      <c r="L53" s="20"/>
      <c r="M53" s="20"/>
      <c r="N53" s="20"/>
      <c r="O53" s="20"/>
      <c r="P53" s="20"/>
      <c r="Q53" s="106"/>
    </row>
    <row r="54" spans="4:17" x14ac:dyDescent="0.15">
      <c r="D54" s="64"/>
      <c r="E54" s="72"/>
      <c r="F54" s="66"/>
      <c r="G54" s="73" t="s">
        <v>13</v>
      </c>
      <c r="H54" s="66"/>
      <c r="I54" s="67">
        <f>ROUNDDOWN(I53*0.1,0)</f>
        <v>572</v>
      </c>
      <c r="J54" s="22"/>
      <c r="K54" s="38"/>
      <c r="L54" s="20"/>
      <c r="M54" s="20"/>
      <c r="N54" s="20"/>
      <c r="O54" s="20"/>
      <c r="P54" s="20"/>
      <c r="Q54" s="106"/>
    </row>
    <row r="55" spans="4:17" x14ac:dyDescent="0.15">
      <c r="D55" s="74"/>
      <c r="E55" s="75"/>
      <c r="F55" s="76"/>
      <c r="G55" s="77" t="s">
        <v>0</v>
      </c>
      <c r="H55" s="76"/>
      <c r="I55" s="78">
        <f>I53+I54</f>
        <v>6294</v>
      </c>
      <c r="J55" s="22"/>
      <c r="K55" s="38"/>
      <c r="L55" s="20"/>
      <c r="M55" s="20"/>
      <c r="N55" s="20"/>
      <c r="O55" s="20"/>
      <c r="P55" s="20"/>
      <c r="Q55" s="106"/>
    </row>
    <row r="56" spans="4:17" x14ac:dyDescent="0.15">
      <c r="D56" s="79"/>
      <c r="E56" s="15"/>
      <c r="F56" s="16"/>
      <c r="G56" s="16"/>
      <c r="H56" s="16"/>
      <c r="I56" s="16"/>
      <c r="J56" s="22"/>
      <c r="K56" s="38"/>
      <c r="L56" s="20"/>
      <c r="M56" s="20"/>
      <c r="N56" s="20"/>
      <c r="O56" s="20"/>
      <c r="P56" s="20"/>
      <c r="Q56" s="106"/>
    </row>
    <row r="57" spans="4:17" x14ac:dyDescent="0.15">
      <c r="K57" s="38"/>
      <c r="L57" s="20"/>
      <c r="M57" s="20"/>
      <c r="N57" s="20"/>
      <c r="O57" s="20"/>
      <c r="P57" s="20"/>
    </row>
  </sheetData>
  <mergeCells count="17">
    <mergeCell ref="F34:H34"/>
    <mergeCell ref="F35:H35"/>
    <mergeCell ref="F36:H36"/>
    <mergeCell ref="F37:H37"/>
    <mergeCell ref="F38:H38"/>
    <mergeCell ref="A1:R1"/>
    <mergeCell ref="M28:O28"/>
    <mergeCell ref="M29:O29"/>
    <mergeCell ref="F32:H32"/>
    <mergeCell ref="F33:H33"/>
    <mergeCell ref="M8:O8"/>
    <mergeCell ref="E4:F4"/>
    <mergeCell ref="H8:L8"/>
    <mergeCell ref="H6:L6"/>
    <mergeCell ref="H7:L7"/>
    <mergeCell ref="M6:O6"/>
    <mergeCell ref="M7:O7"/>
  </mergeCells>
  <phoneticPr fontId="1"/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AF56"/>
  <sheetViews>
    <sheetView view="pageBreakPreview" zoomScale="70" zoomScaleNormal="85" zoomScaleSheetLayoutView="70" workbookViewId="0">
      <selection activeCell="Z40" sqref="Z40"/>
    </sheetView>
  </sheetViews>
  <sheetFormatPr defaultRowHeight="13.5" x14ac:dyDescent="0.15"/>
  <cols>
    <col min="1" max="2" width="1.25" customWidth="1"/>
    <col min="3" max="3" width="3.75" style="4" customWidth="1"/>
    <col min="4" max="4" width="13.875" style="5" bestFit="1" customWidth="1"/>
    <col min="5" max="5" width="11.25" style="3" customWidth="1"/>
    <col min="6" max="6" width="2.5" style="4" customWidth="1"/>
    <col min="7" max="7" width="6.25" style="4" customWidth="1"/>
    <col min="8" max="8" width="2.5" style="4" customWidth="1"/>
    <col min="9" max="9" width="13.75" style="4" customWidth="1"/>
    <col min="10" max="10" width="3.125" style="6" customWidth="1"/>
    <col min="11" max="11" width="13.875" style="7" customWidth="1"/>
    <col min="12" max="12" width="11.25" style="8" customWidth="1"/>
    <col min="13" max="13" width="2.5" style="6" customWidth="1"/>
    <col min="14" max="14" width="6.25" style="6" customWidth="1"/>
    <col min="15" max="15" width="2.5" style="6" customWidth="1"/>
    <col min="16" max="16" width="13.75" style="6" customWidth="1"/>
    <col min="17" max="18" width="1.25" style="4" customWidth="1"/>
    <col min="19" max="19" width="1.25" customWidth="1"/>
  </cols>
  <sheetData>
    <row r="1" spans="1:32" ht="30" customHeight="1" x14ac:dyDescent="0.15">
      <c r="A1" s="214" t="s">
        <v>40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"/>
      <c r="T1" s="2"/>
      <c r="U1" s="2"/>
      <c r="V1" s="1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2" customFormat="1" ht="15" customHeight="1" thickBot="1" x14ac:dyDescent="0.2">
      <c r="C2" s="21"/>
      <c r="D2" s="21"/>
      <c r="E2" s="21"/>
      <c r="F2" s="21"/>
      <c r="G2" s="21"/>
      <c r="H2" s="21"/>
      <c r="I2" s="21"/>
      <c r="J2" s="22"/>
      <c r="K2" s="23"/>
      <c r="L2" s="24"/>
      <c r="M2" s="22"/>
      <c r="N2" s="22"/>
      <c r="O2" s="22"/>
      <c r="P2" s="22"/>
      <c r="Q2" s="16"/>
      <c r="R2" s="16"/>
    </row>
    <row r="3" spans="1:32" ht="15" customHeight="1" thickBot="1" x14ac:dyDescent="0.2">
      <c r="B3" s="87"/>
      <c r="C3" s="88"/>
      <c r="D3" s="89"/>
      <c r="E3" s="90"/>
      <c r="F3" s="91"/>
      <c r="G3" s="91"/>
      <c r="H3" s="91"/>
      <c r="I3" s="91"/>
      <c r="J3" s="92"/>
      <c r="K3" s="92"/>
      <c r="L3" s="92"/>
      <c r="M3" s="92"/>
      <c r="N3" s="92"/>
      <c r="O3" s="92"/>
      <c r="P3" s="92"/>
      <c r="Q3" s="9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27" customHeight="1" thickBot="1" x14ac:dyDescent="0.2">
      <c r="B4" s="94"/>
      <c r="C4" s="113"/>
      <c r="D4" s="98" t="s">
        <v>37</v>
      </c>
      <c r="E4" s="200">
        <v>40</v>
      </c>
      <c r="F4" s="201"/>
      <c r="G4" s="112" t="s">
        <v>41</v>
      </c>
      <c r="H4" s="85"/>
      <c r="I4" s="85"/>
      <c r="J4" s="86"/>
      <c r="K4" s="86"/>
      <c r="L4" s="86"/>
      <c r="M4" s="86"/>
      <c r="N4" s="86"/>
      <c r="O4" s="86"/>
      <c r="P4" s="86"/>
      <c r="Q4" s="95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" customHeight="1" thickBot="1" x14ac:dyDescent="0.2">
      <c r="B5" s="94"/>
      <c r="C5" s="85"/>
      <c r="D5" s="84"/>
      <c r="E5" s="97"/>
      <c r="F5" s="85"/>
      <c r="G5" s="85"/>
      <c r="H5" s="85"/>
      <c r="I5" s="85"/>
      <c r="J5" s="86"/>
      <c r="K5" s="86"/>
      <c r="L5" s="86"/>
      <c r="M5" s="86"/>
      <c r="N5" s="86"/>
      <c r="O5" s="86"/>
      <c r="P5" s="86"/>
      <c r="Q5" s="95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7" customHeight="1" thickBot="1" x14ac:dyDescent="0.2">
      <c r="B6" s="94"/>
      <c r="C6" s="85"/>
      <c r="G6" s="85"/>
      <c r="H6" s="202" t="s">
        <v>32</v>
      </c>
      <c r="I6" s="202"/>
      <c r="J6" s="202"/>
      <c r="K6" s="202"/>
      <c r="L6" s="202"/>
      <c r="M6" s="204">
        <f>I26</f>
        <v>6208</v>
      </c>
      <c r="N6" s="205"/>
      <c r="O6" s="206"/>
      <c r="P6" s="86"/>
      <c r="Q6" s="95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7" customHeight="1" thickBot="1" x14ac:dyDescent="0.2">
      <c r="B7" s="94"/>
      <c r="C7" s="85"/>
      <c r="D7" s="99"/>
      <c r="E7" s="26"/>
      <c r="F7" s="85"/>
      <c r="G7" s="85"/>
      <c r="H7" s="215" t="s">
        <v>33</v>
      </c>
      <c r="I7" s="215"/>
      <c r="J7" s="215"/>
      <c r="K7" s="215"/>
      <c r="L7" s="215"/>
      <c r="M7" s="216">
        <f>P26</f>
        <v>7419</v>
      </c>
      <c r="N7" s="217"/>
      <c r="O7" s="218"/>
      <c r="P7" s="86"/>
      <c r="Q7" s="95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27" customHeight="1" thickBot="1" x14ac:dyDescent="0.2">
      <c r="B8" s="94"/>
      <c r="C8" s="85"/>
      <c r="D8" s="99"/>
      <c r="E8" s="26"/>
      <c r="F8" s="85"/>
      <c r="G8" s="85"/>
      <c r="H8" s="202" t="s">
        <v>34</v>
      </c>
      <c r="I8" s="202"/>
      <c r="J8" s="202"/>
      <c r="K8" s="202"/>
      <c r="L8" s="202"/>
      <c r="M8" s="197">
        <f>M7-M6</f>
        <v>1211</v>
      </c>
      <c r="N8" s="198"/>
      <c r="O8" s="199"/>
      <c r="P8" s="86"/>
      <c r="Q8" s="9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 customHeight="1" thickBot="1" x14ac:dyDescent="0.2">
      <c r="B9" s="96"/>
      <c r="C9" s="100"/>
      <c r="D9" s="101"/>
      <c r="E9" s="102"/>
      <c r="F9" s="100"/>
      <c r="G9" s="100"/>
      <c r="H9" s="103"/>
      <c r="I9" s="103"/>
      <c r="J9" s="103"/>
      <c r="K9" s="103"/>
      <c r="L9" s="103"/>
      <c r="M9" s="27"/>
      <c r="N9" s="27"/>
      <c r="O9" s="27"/>
      <c r="P9" s="104"/>
      <c r="Q9" s="105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4.25" customHeight="1" x14ac:dyDescent="0.15">
      <c r="D10" s="25"/>
      <c r="E10" s="26"/>
      <c r="J10" s="7"/>
      <c r="L10" s="7"/>
      <c r="M10" s="7"/>
      <c r="N10" s="7"/>
      <c r="O10" s="7"/>
      <c r="P10" s="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8.75" customHeight="1" x14ac:dyDescent="0.15">
      <c r="A11" s="173"/>
      <c r="B11" s="173"/>
      <c r="C11" s="174"/>
      <c r="D11" s="175" t="s">
        <v>49</v>
      </c>
      <c r="E11" s="176"/>
      <c r="F11" s="177"/>
      <c r="G11" s="178"/>
      <c r="H11" s="177"/>
      <c r="I11" s="177"/>
      <c r="J11" s="177"/>
      <c r="K11" s="175" t="s">
        <v>50</v>
      </c>
      <c r="L11" s="179"/>
      <c r="M11" s="180"/>
      <c r="N11" s="181"/>
      <c r="O11" s="180"/>
      <c r="P11" s="180"/>
      <c r="Q11" s="174"/>
      <c r="R11" s="174"/>
    </row>
    <row r="12" spans="1:32" ht="14.25" customHeight="1" x14ac:dyDescent="0.15">
      <c r="D12" s="9"/>
      <c r="E12" s="9"/>
      <c r="F12" s="9"/>
      <c r="G12" s="124">
        <f>SUM(G13:G23)</f>
        <v>40</v>
      </c>
      <c r="H12" s="125"/>
      <c r="I12" s="125"/>
      <c r="J12" s="31"/>
      <c r="K12" s="20"/>
      <c r="L12" s="20"/>
      <c r="M12" s="20"/>
      <c r="N12" s="126">
        <f>SUM(N13:N23)</f>
        <v>40</v>
      </c>
      <c r="O12" s="31"/>
      <c r="P12" s="31"/>
      <c r="Q12" s="18"/>
      <c r="R12" s="18"/>
    </row>
    <row r="13" spans="1:32" ht="14.25" x14ac:dyDescent="0.15">
      <c r="D13" s="127" t="s">
        <v>44</v>
      </c>
      <c r="E13" s="132">
        <v>930</v>
      </c>
      <c r="F13" s="129"/>
      <c r="G13" s="182"/>
      <c r="H13" s="129"/>
      <c r="I13" s="131">
        <f>E13</f>
        <v>930</v>
      </c>
      <c r="J13"/>
      <c r="K13" s="127" t="s">
        <v>44</v>
      </c>
      <c r="L13" s="132">
        <v>1116</v>
      </c>
      <c r="M13" s="129"/>
      <c r="N13" s="182"/>
      <c r="O13" s="129"/>
      <c r="P13" s="131">
        <f>L13</f>
        <v>1116</v>
      </c>
    </row>
    <row r="14" spans="1:32" ht="14.25" x14ac:dyDescent="0.15">
      <c r="D14" s="136" t="s">
        <v>51</v>
      </c>
      <c r="E14" s="183">
        <v>0</v>
      </c>
      <c r="F14" s="145"/>
      <c r="G14" s="139">
        <f>MAX(IF($E$4-0&gt;4,4,$E$4-0),0)</f>
        <v>4</v>
      </c>
      <c r="H14" s="145"/>
      <c r="I14" s="140">
        <f>E14*G14</f>
        <v>0</v>
      </c>
      <c r="J14"/>
      <c r="K14" s="136" t="s">
        <v>51</v>
      </c>
      <c r="L14" s="183">
        <v>5</v>
      </c>
      <c r="M14" s="148" t="s">
        <v>10</v>
      </c>
      <c r="N14" s="139">
        <f>MAX(IF($E$4-0&gt;4,4,$E$4-0),0)</f>
        <v>4</v>
      </c>
      <c r="O14" s="148" t="s">
        <v>11</v>
      </c>
      <c r="P14" s="140">
        <f>L14*N14</f>
        <v>20</v>
      </c>
    </row>
    <row r="15" spans="1:32" ht="14.25" x14ac:dyDescent="0.15">
      <c r="D15" s="136" t="s">
        <v>52</v>
      </c>
      <c r="E15" s="183">
        <v>0</v>
      </c>
      <c r="F15" s="145"/>
      <c r="G15" s="139">
        <f>MAX(IF($E$4-4&gt;4,4,$E$4-4),0)</f>
        <v>4</v>
      </c>
      <c r="H15" s="145"/>
      <c r="I15" s="140">
        <f>E15*G15</f>
        <v>0</v>
      </c>
      <c r="J15"/>
      <c r="K15" s="136" t="s">
        <v>52</v>
      </c>
      <c r="L15" s="183">
        <v>10</v>
      </c>
      <c r="M15" s="148" t="s">
        <v>10</v>
      </c>
      <c r="N15" s="139">
        <f>MAX(IF($E$4-4&gt;4,4,$E$4-4),0)</f>
        <v>4</v>
      </c>
      <c r="O15" s="148" t="s">
        <v>11</v>
      </c>
      <c r="P15" s="140">
        <f>L15*N15</f>
        <v>40</v>
      </c>
    </row>
    <row r="16" spans="1:32" ht="14.25" x14ac:dyDescent="0.15">
      <c r="D16" s="136" t="s">
        <v>2</v>
      </c>
      <c r="E16" s="184">
        <v>127</v>
      </c>
      <c r="F16" s="145" t="s">
        <v>10</v>
      </c>
      <c r="G16" s="146">
        <f>MAX(IF($E$4-8&gt;7,7,$E$4-8),0)</f>
        <v>7</v>
      </c>
      <c r="H16" s="145" t="s">
        <v>11</v>
      </c>
      <c r="I16" s="140">
        <f>E16*G16</f>
        <v>889</v>
      </c>
      <c r="J16"/>
      <c r="K16" s="185" t="s">
        <v>2</v>
      </c>
      <c r="L16" s="186">
        <v>152</v>
      </c>
      <c r="M16" s="148" t="s">
        <v>10</v>
      </c>
      <c r="N16" s="146">
        <f>MAX(IF($E$4-8&gt;7,7,$E$4-8),0)</f>
        <v>7</v>
      </c>
      <c r="O16" s="148" t="s">
        <v>11</v>
      </c>
      <c r="P16" s="143">
        <f>L16*N16</f>
        <v>1064</v>
      </c>
    </row>
    <row r="17" spans="4:32" ht="14.25" x14ac:dyDescent="0.15">
      <c r="D17" s="136" t="s">
        <v>3</v>
      </c>
      <c r="E17" s="184">
        <v>137</v>
      </c>
      <c r="F17" s="145" t="s">
        <v>10</v>
      </c>
      <c r="G17" s="146">
        <f>MAX(IF($E$4-15&gt;5,5,$E$4-15),0)</f>
        <v>5</v>
      </c>
      <c r="H17" s="145" t="s">
        <v>11</v>
      </c>
      <c r="I17" s="140">
        <f t="shared" ref="I17:I23" si="0">E17*G17</f>
        <v>685</v>
      </c>
      <c r="J17"/>
      <c r="K17" s="185" t="s">
        <v>3</v>
      </c>
      <c r="L17" s="186">
        <v>163</v>
      </c>
      <c r="M17" s="148" t="s">
        <v>10</v>
      </c>
      <c r="N17" s="146">
        <f>MAX(IF($E$4-15&gt;5,5,$E$4-15),0)</f>
        <v>5</v>
      </c>
      <c r="O17" s="148" t="s">
        <v>11</v>
      </c>
      <c r="P17" s="143">
        <f t="shared" ref="P17:P23" si="1">L17*N17</f>
        <v>815</v>
      </c>
    </row>
    <row r="18" spans="4:32" ht="14.25" x14ac:dyDescent="0.15">
      <c r="D18" s="136" t="s">
        <v>4</v>
      </c>
      <c r="E18" s="184">
        <v>149</v>
      </c>
      <c r="F18" s="145" t="s">
        <v>10</v>
      </c>
      <c r="G18" s="146">
        <f>MAX(IF($E$4-20&gt;10,10,$E$4-20),0)</f>
        <v>10</v>
      </c>
      <c r="H18" s="145" t="s">
        <v>11</v>
      </c>
      <c r="I18" s="140">
        <f t="shared" si="0"/>
        <v>1490</v>
      </c>
      <c r="J18"/>
      <c r="K18" s="185" t="s">
        <v>4</v>
      </c>
      <c r="L18" s="186">
        <v>176</v>
      </c>
      <c r="M18" s="148" t="s">
        <v>10</v>
      </c>
      <c r="N18" s="146">
        <f>MAX(IF($E$4-20&gt;10,10,$E$4-20),0)</f>
        <v>10</v>
      </c>
      <c r="O18" s="148" t="s">
        <v>11</v>
      </c>
      <c r="P18" s="143">
        <f t="shared" si="1"/>
        <v>1760</v>
      </c>
    </row>
    <row r="19" spans="4:32" ht="14.25" x14ac:dyDescent="0.15">
      <c r="D19" s="136" t="s">
        <v>5</v>
      </c>
      <c r="E19" s="184">
        <v>165</v>
      </c>
      <c r="F19" s="145" t="s">
        <v>10</v>
      </c>
      <c r="G19" s="146">
        <f>MAX(IF($E$4-30&gt;20,20,$E$4-30),0)</f>
        <v>10</v>
      </c>
      <c r="H19" s="145" t="s">
        <v>11</v>
      </c>
      <c r="I19" s="140">
        <f t="shared" si="0"/>
        <v>1650</v>
      </c>
      <c r="J19"/>
      <c r="K19" s="185" t="s">
        <v>5</v>
      </c>
      <c r="L19" s="186">
        <v>193</v>
      </c>
      <c r="M19" s="148" t="s">
        <v>10</v>
      </c>
      <c r="N19" s="146">
        <f>MAX(IF($E$4-30&gt;20,20,$E$4-30),0)</f>
        <v>10</v>
      </c>
      <c r="O19" s="148" t="s">
        <v>11</v>
      </c>
      <c r="P19" s="143">
        <f t="shared" si="1"/>
        <v>1930</v>
      </c>
    </row>
    <row r="20" spans="4:32" ht="14.25" x14ac:dyDescent="0.15">
      <c r="D20" s="136" t="s">
        <v>6</v>
      </c>
      <c r="E20" s="184">
        <v>186</v>
      </c>
      <c r="F20" s="145" t="s">
        <v>10</v>
      </c>
      <c r="G20" s="146">
        <f>MAX(IF($E$4-50&gt;50,50,$E$4-50),0)</f>
        <v>0</v>
      </c>
      <c r="H20" s="145" t="s">
        <v>11</v>
      </c>
      <c r="I20" s="140">
        <f t="shared" si="0"/>
        <v>0</v>
      </c>
      <c r="J20"/>
      <c r="K20" s="185" t="s">
        <v>6</v>
      </c>
      <c r="L20" s="186">
        <v>216</v>
      </c>
      <c r="M20" s="148" t="s">
        <v>10</v>
      </c>
      <c r="N20" s="146">
        <f>MAX(IF($E$4-50&gt;50,50,$E$4-50),0)</f>
        <v>0</v>
      </c>
      <c r="O20" s="148" t="s">
        <v>11</v>
      </c>
      <c r="P20" s="143">
        <f t="shared" si="1"/>
        <v>0</v>
      </c>
    </row>
    <row r="21" spans="4:32" ht="14.25" x14ac:dyDescent="0.15">
      <c r="D21" s="136" t="s">
        <v>7</v>
      </c>
      <c r="E21" s="184">
        <v>243</v>
      </c>
      <c r="F21" s="145" t="s">
        <v>10</v>
      </c>
      <c r="G21" s="146">
        <f>MAX(IF($E$4-100&gt;200,200,$E$4-100),0)</f>
        <v>0</v>
      </c>
      <c r="H21" s="145" t="s">
        <v>11</v>
      </c>
      <c r="I21" s="140">
        <f t="shared" si="0"/>
        <v>0</v>
      </c>
      <c r="J21"/>
      <c r="K21" s="185" t="s">
        <v>7</v>
      </c>
      <c r="L21" s="186">
        <v>280</v>
      </c>
      <c r="M21" s="148" t="s">
        <v>10</v>
      </c>
      <c r="N21" s="146">
        <f>MAX(IF($E$4-100&gt;200,200,$E$4-100),0)</f>
        <v>0</v>
      </c>
      <c r="O21" s="148" t="s">
        <v>11</v>
      </c>
      <c r="P21" s="143">
        <f t="shared" si="1"/>
        <v>0</v>
      </c>
    </row>
    <row r="22" spans="4:32" ht="14.25" x14ac:dyDescent="0.15">
      <c r="D22" s="136" t="s">
        <v>8</v>
      </c>
      <c r="E22" s="184">
        <v>302</v>
      </c>
      <c r="F22" s="145" t="s">
        <v>10</v>
      </c>
      <c r="G22" s="146">
        <f>MAX(IF($E$4-300&gt;700,700,$E$4-300),0)</f>
        <v>0</v>
      </c>
      <c r="H22" s="145" t="s">
        <v>11</v>
      </c>
      <c r="I22" s="140">
        <f t="shared" si="0"/>
        <v>0</v>
      </c>
      <c r="J22"/>
      <c r="K22" s="185" t="s">
        <v>8</v>
      </c>
      <c r="L22" s="186">
        <v>344</v>
      </c>
      <c r="M22" s="148" t="s">
        <v>10</v>
      </c>
      <c r="N22" s="146">
        <f>MAX(IF($E$4-300&gt;700,700,$E$4-300),0)</f>
        <v>0</v>
      </c>
      <c r="O22" s="148" t="s">
        <v>11</v>
      </c>
      <c r="P22" s="143">
        <f t="shared" si="1"/>
        <v>0</v>
      </c>
    </row>
    <row r="23" spans="4:32" ht="15" thickBot="1" x14ac:dyDescent="0.2">
      <c r="D23" s="149" t="s">
        <v>9</v>
      </c>
      <c r="E23" s="187">
        <v>364</v>
      </c>
      <c r="F23" s="151" t="s">
        <v>10</v>
      </c>
      <c r="G23" s="152">
        <f>MAX($E$4-1000,0)</f>
        <v>0</v>
      </c>
      <c r="H23" s="151" t="s">
        <v>11</v>
      </c>
      <c r="I23" s="153">
        <f t="shared" si="0"/>
        <v>0</v>
      </c>
      <c r="J23"/>
      <c r="K23" s="188" t="s">
        <v>9</v>
      </c>
      <c r="L23" s="189">
        <v>411</v>
      </c>
      <c r="M23" s="155" t="s">
        <v>10</v>
      </c>
      <c r="N23" s="152">
        <f>MAX($E$4-1000,0)</f>
        <v>0</v>
      </c>
      <c r="O23" s="155" t="s">
        <v>11</v>
      </c>
      <c r="P23" s="156">
        <f t="shared" si="1"/>
        <v>0</v>
      </c>
    </row>
    <row r="24" spans="4:32" ht="15" thickTop="1" x14ac:dyDescent="0.15">
      <c r="D24" s="19"/>
      <c r="E24" s="162"/>
      <c r="F24" s="13"/>
      <c r="G24" s="163" t="s">
        <v>12</v>
      </c>
      <c r="H24" s="13"/>
      <c r="I24" s="160">
        <f>SUM(I13:I23)</f>
        <v>5644</v>
      </c>
      <c r="J24" s="13"/>
      <c r="K24" s="161"/>
      <c r="L24" s="162"/>
      <c r="M24" s="13"/>
      <c r="N24" s="163" t="s">
        <v>12</v>
      </c>
      <c r="O24" s="13"/>
      <c r="P24" s="160">
        <f>SUM(P13:P23)</f>
        <v>6745</v>
      </c>
    </row>
    <row r="25" spans="4:32" ht="14.25" x14ac:dyDescent="0.15">
      <c r="D25" s="19"/>
      <c r="E25" s="162"/>
      <c r="F25" s="13"/>
      <c r="G25" s="163" t="s">
        <v>38</v>
      </c>
      <c r="H25" s="13"/>
      <c r="I25" s="160">
        <f>ROUNDDOWN(I24*0.1,0)</f>
        <v>564</v>
      </c>
      <c r="J25" s="13"/>
      <c r="K25" s="161"/>
      <c r="L25" s="162"/>
      <c r="M25" s="13"/>
      <c r="N25" s="163" t="s">
        <v>38</v>
      </c>
      <c r="O25" s="13"/>
      <c r="P25" s="160">
        <f>ROUNDDOWN(P24*0.1,0)</f>
        <v>674</v>
      </c>
    </row>
    <row r="26" spans="4:32" ht="14.25" x14ac:dyDescent="0.15">
      <c r="D26" s="164"/>
      <c r="E26" s="169"/>
      <c r="F26" s="170"/>
      <c r="G26" s="171" t="s">
        <v>0</v>
      </c>
      <c r="H26" s="170"/>
      <c r="I26" s="167">
        <f>I24+I25</f>
        <v>6208</v>
      </c>
      <c r="J26" s="13"/>
      <c r="K26" s="168"/>
      <c r="L26" s="169"/>
      <c r="M26" s="170"/>
      <c r="N26" s="171" t="s">
        <v>0</v>
      </c>
      <c r="O26" s="170"/>
      <c r="P26" s="167">
        <f>P24+P25</f>
        <v>7419</v>
      </c>
    </row>
    <row r="27" spans="4:32" ht="14.25" thickBot="1" x14ac:dyDescent="0.2">
      <c r="D27" s="80"/>
      <c r="E27" s="81"/>
      <c r="F27" s="12"/>
      <c r="G27" s="12"/>
      <c r="H27" s="12"/>
      <c r="I27" s="12"/>
      <c r="J27" s="32"/>
      <c r="K27" s="11"/>
      <c r="L27" s="82"/>
      <c r="M27" s="32"/>
      <c r="N27" s="32"/>
      <c r="O27" s="32"/>
      <c r="P27" s="32"/>
      <c r="Q27" s="16"/>
      <c r="R27" s="16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4:32" x14ac:dyDescent="0.15">
      <c r="D28" s="80"/>
      <c r="E28" s="81"/>
      <c r="F28" s="12"/>
      <c r="G28" s="12"/>
      <c r="H28" s="12"/>
      <c r="I28" s="12"/>
      <c r="J28" s="32"/>
      <c r="K28" s="11"/>
      <c r="L28" s="39" t="s">
        <v>35</v>
      </c>
      <c r="M28" s="191" t="s">
        <v>16</v>
      </c>
      <c r="N28" s="191"/>
      <c r="O28" s="191"/>
      <c r="P28" s="40">
        <f>P24-I24</f>
        <v>1101</v>
      </c>
      <c r="Q28" s="16"/>
      <c r="R28" s="1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4:32" ht="14.25" thickBot="1" x14ac:dyDescent="0.2">
      <c r="D29" s="80"/>
      <c r="E29" s="81"/>
      <c r="F29" s="12"/>
      <c r="G29" s="12"/>
      <c r="H29" s="12"/>
      <c r="I29" s="12"/>
      <c r="J29" s="32"/>
      <c r="K29" s="11"/>
      <c r="L29" s="41"/>
      <c r="M29" s="192" t="s">
        <v>17</v>
      </c>
      <c r="N29" s="192"/>
      <c r="O29" s="192"/>
      <c r="P29" s="42">
        <f>P26-I26</f>
        <v>1211</v>
      </c>
      <c r="Q29" s="16"/>
      <c r="R29" s="16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4:32" x14ac:dyDescent="0.15">
      <c r="D30" s="80"/>
      <c r="E30" s="81"/>
      <c r="F30" s="12"/>
      <c r="G30" s="12"/>
      <c r="H30" s="12"/>
      <c r="I30" s="12"/>
      <c r="J30" s="32"/>
      <c r="K30" s="11"/>
      <c r="L30" s="44"/>
      <c r="M30" s="172"/>
      <c r="N30" s="172"/>
      <c r="O30" s="172"/>
      <c r="P30" s="47"/>
      <c r="Q30" s="16"/>
      <c r="R30" s="16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4:32" ht="14.25" thickBot="1" x14ac:dyDescent="0.2">
      <c r="D31" s="83" t="s">
        <v>36</v>
      </c>
      <c r="E31" s="38"/>
      <c r="F31" s="20"/>
      <c r="G31" s="20"/>
      <c r="H31" s="20"/>
      <c r="I31" s="12"/>
      <c r="J31" s="32"/>
      <c r="K31" s="11"/>
      <c r="L31" s="82"/>
      <c r="M31" s="32"/>
      <c r="N31" s="32"/>
      <c r="O31" s="32"/>
      <c r="P31" s="32"/>
      <c r="Q31" s="16"/>
      <c r="R31" s="16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4:32" x14ac:dyDescent="0.15">
      <c r="D32" s="48"/>
      <c r="E32" s="49"/>
      <c r="F32" s="193" t="s">
        <v>19</v>
      </c>
      <c r="G32" s="193"/>
      <c r="H32" s="194"/>
      <c r="I32" s="12"/>
      <c r="J32" s="32"/>
      <c r="K32" s="11"/>
      <c r="L32" s="82"/>
      <c r="M32" s="32"/>
      <c r="N32" s="32"/>
      <c r="O32" s="32"/>
      <c r="P32" s="32"/>
      <c r="Q32" s="16"/>
      <c r="R32" s="16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4:32" x14ac:dyDescent="0.15">
      <c r="D33" s="50" t="s">
        <v>15</v>
      </c>
      <c r="E33" s="51" t="s">
        <v>16</v>
      </c>
      <c r="F33" s="195">
        <f>I24+I53</f>
        <v>13555</v>
      </c>
      <c r="G33" s="195"/>
      <c r="H33" s="196"/>
      <c r="I33" s="12"/>
      <c r="J33" s="32"/>
      <c r="K33" s="11"/>
      <c r="L33" s="82"/>
      <c r="M33" s="32"/>
      <c r="N33" s="32"/>
      <c r="O33" s="32"/>
      <c r="P33" s="32"/>
      <c r="Q33" s="16"/>
      <c r="R33" s="1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4:32" x14ac:dyDescent="0.15">
      <c r="D34" s="52"/>
      <c r="E34" s="53" t="s">
        <v>17</v>
      </c>
      <c r="F34" s="210">
        <f>I26+I55</f>
        <v>14910</v>
      </c>
      <c r="G34" s="210"/>
      <c r="H34" s="211"/>
      <c r="I34" s="12"/>
      <c r="J34" s="32"/>
      <c r="K34" s="11"/>
      <c r="L34" s="82"/>
      <c r="M34" s="32"/>
      <c r="N34" s="32"/>
      <c r="O34" s="32"/>
      <c r="P34" s="32"/>
      <c r="Q34" s="16"/>
      <c r="R34" s="16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4:32" x14ac:dyDescent="0.15">
      <c r="D35" s="50" t="s">
        <v>18</v>
      </c>
      <c r="E35" s="51" t="s">
        <v>16</v>
      </c>
      <c r="F35" s="195">
        <f>P24+I53</f>
        <v>14656</v>
      </c>
      <c r="G35" s="195"/>
      <c r="H35" s="196"/>
      <c r="I35" s="12"/>
      <c r="J35" s="32"/>
      <c r="K35" s="11"/>
      <c r="L35" s="82"/>
      <c r="M35" s="32"/>
      <c r="N35" s="32"/>
      <c r="O35" s="32"/>
      <c r="P35" s="32"/>
      <c r="Q35" s="16"/>
      <c r="R35" s="16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4:32" x14ac:dyDescent="0.15">
      <c r="D36" s="52"/>
      <c r="E36" s="53" t="s">
        <v>17</v>
      </c>
      <c r="F36" s="210">
        <f>P26+I55</f>
        <v>16121</v>
      </c>
      <c r="G36" s="210"/>
      <c r="H36" s="211"/>
      <c r="I36" s="12"/>
      <c r="J36" s="32"/>
      <c r="K36" s="11"/>
      <c r="L36" s="82"/>
      <c r="M36" s="32"/>
      <c r="N36" s="32"/>
      <c r="O36" s="32"/>
      <c r="P36" s="32"/>
      <c r="Q36" s="16"/>
      <c r="R36" s="16"/>
    </row>
    <row r="37" spans="4:32" x14ac:dyDescent="0.15">
      <c r="D37" s="54" t="s">
        <v>20</v>
      </c>
      <c r="E37" s="55" t="s">
        <v>16</v>
      </c>
      <c r="F37" s="195">
        <f>F35-F33</f>
        <v>1101</v>
      </c>
      <c r="G37" s="195"/>
      <c r="H37" s="196"/>
      <c r="I37" s="12"/>
      <c r="J37" s="32"/>
      <c r="K37" s="11"/>
      <c r="L37" s="82"/>
      <c r="M37" s="32"/>
      <c r="N37" s="32"/>
      <c r="O37" s="32"/>
      <c r="P37" s="32"/>
      <c r="Q37" s="16"/>
      <c r="R37" s="16"/>
    </row>
    <row r="38" spans="4:32" ht="14.25" thickBot="1" x14ac:dyDescent="0.2">
      <c r="D38" s="56"/>
      <c r="E38" s="57" t="s">
        <v>17</v>
      </c>
      <c r="F38" s="212">
        <f>F36-F34</f>
        <v>1211</v>
      </c>
      <c r="G38" s="212"/>
      <c r="H38" s="213"/>
      <c r="I38" s="12"/>
      <c r="J38" s="32"/>
      <c r="K38" s="11"/>
      <c r="L38" s="38"/>
      <c r="M38" s="20"/>
      <c r="N38" s="20"/>
      <c r="O38" s="20"/>
      <c r="P38" s="20"/>
    </row>
    <row r="39" spans="4:32" ht="14.25" customHeight="1" x14ac:dyDescent="0.15"/>
    <row r="41" spans="4:32" x14ac:dyDescent="0.15">
      <c r="D41" s="14" t="s">
        <v>14</v>
      </c>
      <c r="E41" s="15"/>
      <c r="F41" s="16"/>
      <c r="G41" s="17"/>
      <c r="H41" s="16"/>
      <c r="I41" s="16"/>
    </row>
    <row r="42" spans="4:32" x14ac:dyDescent="0.15">
      <c r="D42" s="14"/>
      <c r="E42" s="15"/>
      <c r="F42" s="16"/>
      <c r="G42" s="30">
        <f>SUM(G43:G52)</f>
        <v>40</v>
      </c>
      <c r="H42" s="12"/>
      <c r="I42" s="12"/>
    </row>
    <row r="43" spans="4:32" x14ac:dyDescent="0.15">
      <c r="D43" s="60" t="s">
        <v>51</v>
      </c>
      <c r="E43" s="61">
        <v>890</v>
      </c>
      <c r="F43" s="62"/>
      <c r="G43" s="33">
        <f>MAX(IF($E$4&gt;4,4,$E$4-4),0)</f>
        <v>4</v>
      </c>
      <c r="H43" s="62"/>
      <c r="I43" s="63">
        <f>E43</f>
        <v>890</v>
      </c>
    </row>
    <row r="44" spans="4:32" x14ac:dyDescent="0.15">
      <c r="D44" s="64" t="s">
        <v>52</v>
      </c>
      <c r="E44" s="106">
        <v>20</v>
      </c>
      <c r="F44" s="66" t="s">
        <v>10</v>
      </c>
      <c r="G44" s="34">
        <f>MAX(IF($E$4-4&gt;4,4,$E$4-4),0)</f>
        <v>4</v>
      </c>
      <c r="H44" s="66" t="s">
        <v>11</v>
      </c>
      <c r="I44" s="67">
        <f>E44*G44</f>
        <v>80</v>
      </c>
    </row>
    <row r="45" spans="4:32" x14ac:dyDescent="0.15">
      <c r="D45" s="64" t="s">
        <v>2</v>
      </c>
      <c r="E45" s="65">
        <v>153</v>
      </c>
      <c r="F45" s="66" t="s">
        <v>10</v>
      </c>
      <c r="G45" s="34">
        <f>MAX(IF($E$4-8&gt;7,7,$E$4-8),0)</f>
        <v>7</v>
      </c>
      <c r="H45" s="66" t="s">
        <v>11</v>
      </c>
      <c r="I45" s="67">
        <f>E45*G45</f>
        <v>1071</v>
      </c>
    </row>
    <row r="46" spans="4:32" x14ac:dyDescent="0.15">
      <c r="D46" s="64" t="s">
        <v>3</v>
      </c>
      <c r="E46" s="65">
        <v>164</v>
      </c>
      <c r="F46" s="66" t="s">
        <v>10</v>
      </c>
      <c r="G46" s="34">
        <f>MAX(IF($E$4-15&gt;5,5,$E$4-15),0)</f>
        <v>5</v>
      </c>
      <c r="H46" s="66" t="s">
        <v>11</v>
      </c>
      <c r="I46" s="67">
        <f t="shared" ref="I46:I52" si="2">E46*G46</f>
        <v>820</v>
      </c>
    </row>
    <row r="47" spans="4:32" x14ac:dyDescent="0.15">
      <c r="D47" s="64" t="s">
        <v>4</v>
      </c>
      <c r="E47" s="65">
        <v>220</v>
      </c>
      <c r="F47" s="66" t="s">
        <v>10</v>
      </c>
      <c r="G47" s="34">
        <f>MAX(IF($E$4-20&gt;10,10,$E$4-20),0)</f>
        <v>10</v>
      </c>
      <c r="H47" s="66" t="s">
        <v>11</v>
      </c>
      <c r="I47" s="67">
        <f t="shared" si="2"/>
        <v>2200</v>
      </c>
    </row>
    <row r="48" spans="4:32" x14ac:dyDescent="0.15">
      <c r="D48" s="64" t="s">
        <v>5</v>
      </c>
      <c r="E48" s="65">
        <v>285</v>
      </c>
      <c r="F48" s="66" t="s">
        <v>10</v>
      </c>
      <c r="G48" s="34">
        <f>MAX(IF($E$4-30&gt;20,20,$E$4-30),0)</f>
        <v>10</v>
      </c>
      <c r="H48" s="66" t="s">
        <v>11</v>
      </c>
      <c r="I48" s="67">
        <f t="shared" si="2"/>
        <v>2850</v>
      </c>
    </row>
    <row r="49" spans="4:9" x14ac:dyDescent="0.15">
      <c r="D49" s="64" t="s">
        <v>6</v>
      </c>
      <c r="E49" s="65">
        <v>310</v>
      </c>
      <c r="F49" s="66" t="s">
        <v>10</v>
      </c>
      <c r="G49" s="34">
        <f>MAX(IF($E$4-50&gt;50,50,$E$4-50),0)</f>
        <v>0</v>
      </c>
      <c r="H49" s="66" t="s">
        <v>11</v>
      </c>
      <c r="I49" s="67">
        <f t="shared" ref="I49:I51" si="3">E49*G49</f>
        <v>0</v>
      </c>
    </row>
    <row r="50" spans="4:9" x14ac:dyDescent="0.15">
      <c r="D50" s="64" t="s">
        <v>7</v>
      </c>
      <c r="E50" s="65">
        <v>338</v>
      </c>
      <c r="F50" s="66" t="s">
        <v>10</v>
      </c>
      <c r="G50" s="34">
        <f>MAX(IF($E$4-100&gt;200,200,$E$4-100),0)</f>
        <v>0</v>
      </c>
      <c r="H50" s="66" t="s">
        <v>11</v>
      </c>
      <c r="I50" s="67">
        <f t="shared" si="3"/>
        <v>0</v>
      </c>
    </row>
    <row r="51" spans="4:9" x14ac:dyDescent="0.15">
      <c r="D51" s="64" t="s">
        <v>8</v>
      </c>
      <c r="E51" s="65">
        <v>366</v>
      </c>
      <c r="F51" s="66" t="s">
        <v>10</v>
      </c>
      <c r="G51" s="34">
        <f>MAX(IF($E$4-300&gt;700,700,$E$4-300),0)</f>
        <v>0</v>
      </c>
      <c r="H51" s="66" t="s">
        <v>11</v>
      </c>
      <c r="I51" s="67">
        <f t="shared" si="3"/>
        <v>0</v>
      </c>
    </row>
    <row r="52" spans="4:9" ht="14.25" thickBot="1" x14ac:dyDescent="0.2">
      <c r="D52" s="68" t="s">
        <v>54</v>
      </c>
      <c r="E52" s="69">
        <v>463</v>
      </c>
      <c r="F52" s="70" t="s">
        <v>10</v>
      </c>
      <c r="G52" s="35">
        <f>MAX($E$4-1000,0)</f>
        <v>0</v>
      </c>
      <c r="H52" s="70" t="s">
        <v>11</v>
      </c>
      <c r="I52" s="71">
        <f t="shared" si="2"/>
        <v>0</v>
      </c>
    </row>
    <row r="53" spans="4:9" ht="14.25" thickTop="1" x14ac:dyDescent="0.15">
      <c r="D53" s="64"/>
      <c r="E53" s="72"/>
      <c r="F53" s="66"/>
      <c r="G53" s="73" t="s">
        <v>12</v>
      </c>
      <c r="H53" s="66"/>
      <c r="I53" s="67">
        <f>SUM(I43:I52)</f>
        <v>7911</v>
      </c>
    </row>
    <row r="54" spans="4:9" x14ac:dyDescent="0.15">
      <c r="D54" s="64"/>
      <c r="E54" s="72"/>
      <c r="F54" s="66"/>
      <c r="G54" s="73" t="s">
        <v>13</v>
      </c>
      <c r="H54" s="66"/>
      <c r="I54" s="67">
        <f>ROUNDDOWN(I53*0.1,0)</f>
        <v>791</v>
      </c>
    </row>
    <row r="55" spans="4:9" x14ac:dyDescent="0.15">
      <c r="D55" s="74"/>
      <c r="E55" s="75"/>
      <c r="F55" s="76"/>
      <c r="G55" s="77" t="s">
        <v>0</v>
      </c>
      <c r="H55" s="76"/>
      <c r="I55" s="78">
        <f>I53+I54</f>
        <v>8702</v>
      </c>
    </row>
    <row r="56" spans="4:9" x14ac:dyDescent="0.15">
      <c r="D56" s="79"/>
      <c r="E56" s="15"/>
      <c r="F56" s="16"/>
      <c r="G56" s="16"/>
      <c r="H56" s="16"/>
      <c r="I56" s="16"/>
    </row>
  </sheetData>
  <mergeCells count="17">
    <mergeCell ref="F36:H36"/>
    <mergeCell ref="F37:H37"/>
    <mergeCell ref="F38:H38"/>
    <mergeCell ref="F32:H32"/>
    <mergeCell ref="M28:O28"/>
    <mergeCell ref="M29:O29"/>
    <mergeCell ref="F33:H33"/>
    <mergeCell ref="F34:H34"/>
    <mergeCell ref="F35:H35"/>
    <mergeCell ref="A1:R1"/>
    <mergeCell ref="H7:L7"/>
    <mergeCell ref="M7:O7"/>
    <mergeCell ref="H8:L8"/>
    <mergeCell ref="M8:O8"/>
    <mergeCell ref="E4:F4"/>
    <mergeCell ref="H6:L6"/>
    <mergeCell ref="M6:O6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①計算2か月</vt:lpstr>
      <vt:lpstr>②計算１か月</vt:lpstr>
      <vt:lpstr>①計算2か月!Print_Area</vt:lpstr>
      <vt:lpstr>②計算１か月!Print_Area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A16P255</cp:lastModifiedBy>
  <cp:lastPrinted>2022-08-24T05:21:12Z</cp:lastPrinted>
  <dcterms:created xsi:type="dcterms:W3CDTF">2021-06-01T02:47:39Z</dcterms:created>
  <dcterms:modified xsi:type="dcterms:W3CDTF">2026-06-29T08:15:14Z</dcterms:modified>
</cp:coreProperties>
</file>