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/>
  <mc:AlternateContent xmlns:mc="http://schemas.openxmlformats.org/markup-compatibility/2006">
    <mc:Choice Requires="x15">
      <x15ac:absPath xmlns:x15ac="http://schemas.microsoft.com/office/spreadsheetml/2010/11/ac" url="Y:\04　国民健康保険担当（H30.4月～）\1_庶務（予算経理・監査・運協含む、下記以外の全ての業務）\1_7_国保運営協議会\★R5.5.18\資料（作成中）\"/>
    </mc:Choice>
  </mc:AlternateContent>
  <xr:revisionPtr revIDLastSave="0" documentId="13_ncr:1_{65297725-044B-4996-9D84-48C0CAD03081}" xr6:coauthVersionLast="36" xr6:coauthVersionMax="36" xr10:uidLastSave="{00000000-0000-0000-0000-000000000000}"/>
  <bookViews>
    <workbookView xWindow="8790" yWindow="5190" windowWidth="10410" windowHeight="9975" tabRatio="660" firstSheet="5" activeTab="5" xr2:uid="{00000000-000D-0000-FFFF-FFFF00000000}"/>
  </bookViews>
  <sheets>
    <sheet name="26" sheetId="20" state="hidden" r:id="rId1"/>
    <sheet name="27" sheetId="21" state="hidden" r:id="rId2"/>
    <sheet name="28" sheetId="25" state="hidden" r:id="rId3"/>
    <sheet name="29" sheetId="24" state="hidden" r:id="rId4"/>
    <sheet name="30" sheetId="26" state="hidden" r:id="rId5"/>
    <sheet name="R05" sheetId="50" r:id="rId6"/>
    <sheet name="Sheet1" sheetId="52" r:id="rId7"/>
  </sheets>
  <definedNames>
    <definedName name="_xlnm.Print_Area" localSheetId="0">'26'!$A$1:$M$78</definedName>
    <definedName name="_xlnm.Print_Area" localSheetId="1">'27'!$A$1:$M$41</definedName>
    <definedName name="_xlnm.Print_Area" localSheetId="2">'28'!$A$1:$K$41</definedName>
    <definedName name="_xlnm.Print_Area" localSheetId="3">'29'!$A$1:$J$41</definedName>
    <definedName name="_xlnm.Print_Area" localSheetId="4">'30'!$A$1:$J$41</definedName>
    <definedName name="_xlnm.Print_Area" localSheetId="5">'R05'!$A$1:$K$46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50" l="1"/>
  <c r="P10" i="50" s="1"/>
  <c r="F5" i="52" l="1"/>
  <c r="F6" i="52"/>
  <c r="F7" i="52"/>
  <c r="F8" i="52"/>
  <c r="F9" i="52"/>
  <c r="F10" i="52"/>
  <c r="F11" i="52"/>
  <c r="F4" i="52"/>
  <c r="E12" i="52"/>
  <c r="D12" i="52"/>
  <c r="E58" i="50"/>
  <c r="C58" i="50"/>
  <c r="I31" i="50" l="1"/>
  <c r="I32" i="50" s="1"/>
  <c r="S30" i="50"/>
  <c r="R30" i="50"/>
  <c r="S29" i="50"/>
  <c r="R29" i="50"/>
  <c r="S28" i="50"/>
  <c r="R28" i="50"/>
  <c r="M27" i="50"/>
  <c r="S26" i="50"/>
  <c r="R26" i="50"/>
  <c r="S25" i="50"/>
  <c r="R25" i="50"/>
  <c r="M25" i="50"/>
  <c r="S24" i="50"/>
  <c r="R24" i="50"/>
  <c r="M23" i="50"/>
  <c r="S22" i="50"/>
  <c r="R22" i="50"/>
  <c r="S21" i="50"/>
  <c r="R21" i="50"/>
  <c r="M21" i="50"/>
  <c r="S20" i="50"/>
  <c r="R20" i="50"/>
  <c r="O19" i="50"/>
  <c r="G19" i="50" s="1"/>
  <c r="I19" i="50" s="1"/>
  <c r="I20" i="50" s="1"/>
  <c r="N19" i="50"/>
  <c r="N20" i="50" s="1"/>
  <c r="S18" i="50"/>
  <c r="R18" i="50"/>
  <c r="S17" i="50"/>
  <c r="R17" i="50"/>
  <c r="O17" i="50"/>
  <c r="G17" i="50" s="1"/>
  <c r="I17" i="50" s="1"/>
  <c r="I18" i="50" s="1"/>
  <c r="N17" i="50"/>
  <c r="N18" i="50" s="1"/>
  <c r="S16" i="50"/>
  <c r="R16" i="50"/>
  <c r="O15" i="50"/>
  <c r="G15" i="50" s="1"/>
  <c r="I15" i="50" s="1"/>
  <c r="I16" i="50" s="1"/>
  <c r="N15" i="50"/>
  <c r="N16" i="50" s="1"/>
  <c r="S13" i="50"/>
  <c r="R13" i="50"/>
  <c r="O13" i="50"/>
  <c r="G13" i="50" s="1"/>
  <c r="I13" i="50" s="1"/>
  <c r="I14" i="50" s="1"/>
  <c r="N13" i="50"/>
  <c r="N14" i="50" s="1"/>
  <c r="S12" i="50"/>
  <c r="R12" i="50"/>
  <c r="S11" i="50"/>
  <c r="R11" i="50"/>
  <c r="R14" i="50" s="1"/>
  <c r="O11" i="50"/>
  <c r="O12" i="50" s="1"/>
  <c r="G12" i="50" s="1"/>
  <c r="N11" i="50"/>
  <c r="N12" i="50" s="1"/>
  <c r="O9" i="50"/>
  <c r="G9" i="50" s="1"/>
  <c r="I9" i="50" s="1"/>
  <c r="I10" i="50" s="1"/>
  <c r="N9" i="50"/>
  <c r="N10" i="50" s="1"/>
  <c r="S7" i="50"/>
  <c r="S8" i="50" s="1"/>
  <c r="G22" i="50" s="1"/>
  <c r="R7" i="50"/>
  <c r="R8" i="50" s="1"/>
  <c r="O7" i="50"/>
  <c r="G7" i="50" s="1"/>
  <c r="I7" i="50" s="1"/>
  <c r="I8" i="50" s="1"/>
  <c r="N7" i="50"/>
  <c r="N21" i="50" l="1"/>
  <c r="N22" i="50" s="1"/>
  <c r="N27" i="50"/>
  <c r="N28" i="50" s="1"/>
  <c r="N23" i="50"/>
  <c r="N24" i="50" s="1"/>
  <c r="N25" i="50"/>
  <c r="N26" i="50" s="1"/>
  <c r="O27" i="50"/>
  <c r="O28" i="50" s="1"/>
  <c r="G32" i="50" s="1"/>
  <c r="S14" i="50"/>
  <c r="G24" i="50" s="1"/>
  <c r="O21" i="50"/>
  <c r="O22" i="50" s="1"/>
  <c r="G26" i="50" s="1"/>
  <c r="O14" i="50"/>
  <c r="G14" i="50" s="1"/>
  <c r="O23" i="50"/>
  <c r="G27" i="50" s="1"/>
  <c r="I27" i="50" s="1"/>
  <c r="I28" i="50" s="1"/>
  <c r="O18" i="50"/>
  <c r="G18" i="50" s="1"/>
  <c r="O20" i="50"/>
  <c r="G20" i="50" s="1"/>
  <c r="O25" i="50"/>
  <c r="O26" i="50" s="1"/>
  <c r="G30" i="50" s="1"/>
  <c r="G23" i="50"/>
  <c r="I23" i="50" s="1"/>
  <c r="I24" i="50" s="1"/>
  <c r="G10" i="50"/>
  <c r="O16" i="50"/>
  <c r="G16" i="50" s="1"/>
  <c r="G11" i="50"/>
  <c r="I11" i="50" s="1"/>
  <c r="I12" i="50" s="1"/>
  <c r="G21" i="50"/>
  <c r="I21" i="50" s="1"/>
  <c r="I22" i="50" s="1"/>
  <c r="G25" i="50" l="1"/>
  <c r="I25" i="50" s="1"/>
  <c r="I26" i="50" s="1"/>
  <c r="G29" i="50"/>
  <c r="I29" i="50" s="1"/>
  <c r="I30" i="50" s="1"/>
  <c r="O24" i="50"/>
  <c r="G28" i="50" s="1"/>
  <c r="I41" i="26"/>
  <c r="G41" i="26"/>
  <c r="E41" i="26"/>
  <c r="I40" i="26"/>
  <c r="I39" i="26"/>
  <c r="I38" i="26"/>
  <c r="I37" i="26"/>
  <c r="I36" i="26"/>
  <c r="I35" i="26"/>
  <c r="I34" i="26"/>
  <c r="I33" i="26"/>
  <c r="S30" i="26"/>
  <c r="R30" i="26"/>
  <c r="S29" i="26"/>
  <c r="R29" i="26"/>
  <c r="S28" i="26"/>
  <c r="R28" i="26"/>
  <c r="O28" i="26"/>
  <c r="N28" i="26"/>
  <c r="I28" i="26"/>
  <c r="G28" i="26"/>
  <c r="O27" i="26"/>
  <c r="N27" i="26"/>
  <c r="M27" i="26"/>
  <c r="I27" i="26"/>
  <c r="G27" i="26"/>
  <c r="S26" i="26"/>
  <c r="R26" i="26"/>
  <c r="O26" i="26"/>
  <c r="N26" i="26"/>
  <c r="I26" i="26"/>
  <c r="G26" i="26"/>
  <c r="S25" i="26"/>
  <c r="R25" i="26"/>
  <c r="O25" i="26"/>
  <c r="N25" i="26"/>
  <c r="M25" i="26"/>
  <c r="I25" i="26"/>
  <c r="G25" i="26"/>
  <c r="S24" i="26"/>
  <c r="R24" i="26"/>
  <c r="O24" i="26"/>
  <c r="N24" i="26"/>
  <c r="I24" i="26"/>
  <c r="G24" i="26"/>
  <c r="O23" i="26"/>
  <c r="N23" i="26"/>
  <c r="M23" i="26"/>
  <c r="I23" i="26"/>
  <c r="G23" i="26"/>
  <c r="S22" i="26"/>
  <c r="R22" i="26"/>
  <c r="O22" i="26"/>
  <c r="N22" i="26"/>
  <c r="I22" i="26"/>
  <c r="G22" i="26"/>
  <c r="S21" i="26"/>
  <c r="R21" i="26"/>
  <c r="O21" i="26"/>
  <c r="N21" i="26"/>
  <c r="M21" i="26"/>
  <c r="I21" i="26"/>
  <c r="G21" i="26"/>
  <c r="S20" i="26"/>
  <c r="R20" i="26"/>
  <c r="O20" i="26"/>
  <c r="N20" i="26"/>
  <c r="I20" i="26"/>
  <c r="G20" i="26"/>
  <c r="O19" i="26"/>
  <c r="N19" i="26"/>
  <c r="I19" i="26"/>
  <c r="G19" i="26"/>
  <c r="S18" i="26"/>
  <c r="R18" i="26"/>
  <c r="O18" i="26"/>
  <c r="N18" i="26"/>
  <c r="I18" i="26"/>
  <c r="G18" i="26"/>
  <c r="S17" i="26"/>
  <c r="R17" i="26"/>
  <c r="O17" i="26"/>
  <c r="N17" i="26"/>
  <c r="I17" i="26"/>
  <c r="G17" i="26"/>
  <c r="S16" i="26"/>
  <c r="R16" i="26"/>
  <c r="O16" i="26"/>
  <c r="N16" i="26"/>
  <c r="I16" i="26"/>
  <c r="G16" i="26"/>
  <c r="O15" i="26"/>
  <c r="N15" i="26"/>
  <c r="I15" i="26"/>
  <c r="G15" i="26"/>
  <c r="O14" i="26"/>
  <c r="N14" i="26"/>
  <c r="I14" i="26"/>
  <c r="G14" i="26"/>
  <c r="O13" i="26"/>
  <c r="N13" i="26"/>
  <c r="I13" i="26"/>
  <c r="G13" i="26"/>
  <c r="O12" i="26"/>
  <c r="N12" i="26"/>
  <c r="I12" i="26"/>
  <c r="G12" i="26"/>
  <c r="O11" i="26"/>
  <c r="N11" i="26"/>
  <c r="I11" i="26"/>
  <c r="G11" i="26"/>
  <c r="O10" i="26"/>
  <c r="N10" i="26"/>
  <c r="I10" i="26"/>
  <c r="G10" i="26"/>
  <c r="O9" i="26"/>
  <c r="N9" i="26"/>
  <c r="I9" i="26"/>
  <c r="G9" i="26"/>
  <c r="I8" i="26"/>
  <c r="O7" i="26"/>
  <c r="N7" i="26"/>
  <c r="I7" i="26"/>
  <c r="G7" i="26"/>
  <c r="I41" i="24"/>
  <c r="G41" i="24"/>
  <c r="E41" i="24"/>
  <c r="I40" i="24"/>
  <c r="I39" i="24"/>
  <c r="I38" i="24"/>
  <c r="I37" i="24"/>
  <c r="I36" i="24"/>
  <c r="I35" i="24"/>
  <c r="I34" i="24"/>
  <c r="I33" i="24"/>
  <c r="R30" i="24"/>
  <c r="Q30" i="24"/>
  <c r="R29" i="24"/>
  <c r="Q29" i="24"/>
  <c r="R28" i="24"/>
  <c r="Q28" i="24"/>
  <c r="N28" i="24"/>
  <c r="M28" i="24"/>
  <c r="I28" i="24"/>
  <c r="G28" i="24"/>
  <c r="E28" i="24"/>
  <c r="N27" i="24"/>
  <c r="M27" i="24"/>
  <c r="L27" i="24"/>
  <c r="I27" i="24"/>
  <c r="G27" i="24"/>
  <c r="E27" i="24"/>
  <c r="R26" i="24"/>
  <c r="Q26" i="24"/>
  <c r="N26" i="24"/>
  <c r="M26" i="24"/>
  <c r="I26" i="24"/>
  <c r="G26" i="24"/>
  <c r="E26" i="24"/>
  <c r="R25" i="24"/>
  <c r="Q25" i="24"/>
  <c r="N25" i="24"/>
  <c r="M25" i="24"/>
  <c r="L25" i="24"/>
  <c r="I25" i="24"/>
  <c r="G25" i="24"/>
  <c r="E25" i="24"/>
  <c r="R24" i="24"/>
  <c r="Q24" i="24"/>
  <c r="N24" i="24"/>
  <c r="M24" i="24"/>
  <c r="I24" i="24"/>
  <c r="G24" i="24"/>
  <c r="E24" i="24"/>
  <c r="N23" i="24"/>
  <c r="M23" i="24"/>
  <c r="L23" i="24"/>
  <c r="I23" i="24"/>
  <c r="G23" i="24"/>
  <c r="E23" i="24"/>
  <c r="R22" i="24"/>
  <c r="Q22" i="24"/>
  <c r="N22" i="24"/>
  <c r="M22" i="24"/>
  <c r="I22" i="24"/>
  <c r="G22" i="24"/>
  <c r="E22" i="24"/>
  <c r="R21" i="24"/>
  <c r="Q21" i="24"/>
  <c r="N21" i="24"/>
  <c r="M21" i="24"/>
  <c r="L21" i="24"/>
  <c r="I21" i="24"/>
  <c r="G21" i="24"/>
  <c r="E21" i="24"/>
  <c r="R20" i="24"/>
  <c r="Q20" i="24"/>
  <c r="N20" i="24"/>
  <c r="M20" i="24"/>
  <c r="I20" i="24"/>
  <c r="G20" i="24"/>
  <c r="E20" i="24"/>
  <c r="N19" i="24"/>
  <c r="M19" i="24"/>
  <c r="I19" i="24"/>
  <c r="G19" i="24"/>
  <c r="E19" i="24"/>
  <c r="R18" i="24"/>
  <c r="Q18" i="24"/>
  <c r="N18" i="24"/>
  <c r="M18" i="24"/>
  <c r="I18" i="24"/>
  <c r="G18" i="24"/>
  <c r="E18" i="24"/>
  <c r="R17" i="24"/>
  <c r="Q17" i="24"/>
  <c r="N17" i="24"/>
  <c r="M17" i="24"/>
  <c r="I17" i="24"/>
  <c r="G17" i="24"/>
  <c r="E17" i="24"/>
  <c r="R16" i="24"/>
  <c r="Q16" i="24"/>
  <c r="N16" i="24"/>
  <c r="M16" i="24"/>
  <c r="I16" i="24"/>
  <c r="G16" i="24"/>
  <c r="E16" i="24"/>
  <c r="N15" i="24"/>
  <c r="M15" i="24"/>
  <c r="I15" i="24"/>
  <c r="G15" i="24"/>
  <c r="E15" i="24"/>
  <c r="N14" i="24"/>
  <c r="M14" i="24"/>
  <c r="I14" i="24"/>
  <c r="G14" i="24"/>
  <c r="E14" i="24"/>
  <c r="N13" i="24"/>
  <c r="M13" i="24"/>
  <c r="I13" i="24"/>
  <c r="G13" i="24"/>
  <c r="E13" i="24"/>
  <c r="N12" i="24"/>
  <c r="M12" i="24"/>
  <c r="I12" i="24"/>
  <c r="G12" i="24"/>
  <c r="E12" i="24"/>
  <c r="N11" i="24"/>
  <c r="M11" i="24"/>
  <c r="I11" i="24"/>
  <c r="G11" i="24"/>
  <c r="E11" i="24"/>
  <c r="N10" i="24"/>
  <c r="M10" i="24"/>
  <c r="I10" i="24"/>
  <c r="G10" i="24"/>
  <c r="E10" i="24"/>
  <c r="N9" i="24"/>
  <c r="M9" i="24"/>
  <c r="I9" i="24"/>
  <c r="G9" i="24"/>
  <c r="E9" i="24"/>
  <c r="I8" i="24"/>
  <c r="N7" i="24"/>
  <c r="M7" i="24"/>
  <c r="I7" i="24"/>
  <c r="G7" i="24"/>
  <c r="E7" i="24"/>
  <c r="I41" i="25"/>
  <c r="G41" i="25"/>
  <c r="E41" i="25"/>
  <c r="I40" i="25"/>
  <c r="I39" i="25"/>
  <c r="I38" i="25"/>
  <c r="I37" i="25"/>
  <c r="I36" i="25"/>
  <c r="I35" i="25"/>
  <c r="I34" i="25"/>
  <c r="I33" i="25"/>
  <c r="R30" i="25"/>
  <c r="Q30" i="25"/>
  <c r="R29" i="25"/>
  <c r="Q29" i="25"/>
  <c r="R28" i="25"/>
  <c r="Q28" i="25"/>
  <c r="N28" i="25"/>
  <c r="M28" i="25"/>
  <c r="I28" i="25"/>
  <c r="G28" i="25"/>
  <c r="E28" i="25"/>
  <c r="N27" i="25"/>
  <c r="M27" i="25"/>
  <c r="L27" i="25"/>
  <c r="I27" i="25"/>
  <c r="G27" i="25"/>
  <c r="E27" i="25"/>
  <c r="R26" i="25"/>
  <c r="Q26" i="25"/>
  <c r="N26" i="25"/>
  <c r="M26" i="25"/>
  <c r="I26" i="25"/>
  <c r="G26" i="25"/>
  <c r="E26" i="25"/>
  <c r="R25" i="25"/>
  <c r="Q25" i="25"/>
  <c r="N25" i="25"/>
  <c r="M25" i="25"/>
  <c r="L25" i="25"/>
  <c r="I25" i="25"/>
  <c r="G25" i="25"/>
  <c r="E25" i="25"/>
  <c r="R24" i="25"/>
  <c r="Q24" i="25"/>
  <c r="N24" i="25"/>
  <c r="M24" i="25"/>
  <c r="I24" i="25"/>
  <c r="G24" i="25"/>
  <c r="E24" i="25"/>
  <c r="N23" i="25"/>
  <c r="M23" i="25"/>
  <c r="L23" i="25"/>
  <c r="I23" i="25"/>
  <c r="G23" i="25"/>
  <c r="E23" i="25"/>
  <c r="R22" i="25"/>
  <c r="Q22" i="25"/>
  <c r="N22" i="25"/>
  <c r="M22" i="25"/>
  <c r="I22" i="25"/>
  <c r="G22" i="25"/>
  <c r="E22" i="25"/>
  <c r="R21" i="25"/>
  <c r="Q21" i="25"/>
  <c r="N21" i="25"/>
  <c r="M21" i="25"/>
  <c r="L21" i="25"/>
  <c r="I21" i="25"/>
  <c r="G21" i="25"/>
  <c r="E21" i="25"/>
  <c r="R20" i="25"/>
  <c r="Q20" i="25"/>
  <c r="N20" i="25"/>
  <c r="M20" i="25"/>
  <c r="I20" i="25"/>
  <c r="G20" i="25"/>
  <c r="E20" i="25"/>
  <c r="N19" i="25"/>
  <c r="M19" i="25"/>
  <c r="I19" i="25"/>
  <c r="G19" i="25"/>
  <c r="E19" i="25"/>
  <c r="R18" i="25"/>
  <c r="Q18" i="25"/>
  <c r="N18" i="25"/>
  <c r="M18" i="25"/>
  <c r="I18" i="25"/>
  <c r="G18" i="25"/>
  <c r="E18" i="25"/>
  <c r="R17" i="25"/>
  <c r="Q17" i="25"/>
  <c r="N17" i="25"/>
  <c r="M17" i="25"/>
  <c r="I17" i="25"/>
  <c r="G17" i="25"/>
  <c r="E17" i="25"/>
  <c r="R16" i="25"/>
  <c r="Q16" i="25"/>
  <c r="N16" i="25"/>
  <c r="M16" i="25"/>
  <c r="I16" i="25"/>
  <c r="G16" i="25"/>
  <c r="E16" i="25"/>
  <c r="N15" i="25"/>
  <c r="M15" i="25"/>
  <c r="I15" i="25"/>
  <c r="G15" i="25"/>
  <c r="E15" i="25"/>
  <c r="N14" i="25"/>
  <c r="M14" i="25"/>
  <c r="I14" i="25"/>
  <c r="G14" i="25"/>
  <c r="E14" i="25"/>
  <c r="N13" i="25"/>
  <c r="M13" i="25"/>
  <c r="I13" i="25"/>
  <c r="G13" i="25"/>
  <c r="E13" i="25"/>
  <c r="N12" i="25"/>
  <c r="M12" i="25"/>
  <c r="I12" i="25"/>
  <c r="G12" i="25"/>
  <c r="E12" i="25"/>
  <c r="N11" i="25"/>
  <c r="M11" i="25"/>
  <c r="I11" i="25"/>
  <c r="G11" i="25"/>
  <c r="E11" i="25"/>
  <c r="N10" i="25"/>
  <c r="M10" i="25"/>
  <c r="I10" i="25"/>
  <c r="G10" i="25"/>
  <c r="E10" i="25"/>
  <c r="N9" i="25"/>
  <c r="M9" i="25"/>
  <c r="I9" i="25"/>
  <c r="G9" i="25"/>
  <c r="E9" i="25"/>
  <c r="N8" i="25"/>
  <c r="M8" i="25"/>
  <c r="I8" i="25"/>
  <c r="G8" i="25"/>
  <c r="E8" i="25"/>
  <c r="N7" i="25"/>
  <c r="M7" i="25"/>
  <c r="I7" i="25"/>
  <c r="G7" i="25"/>
  <c r="E7" i="25"/>
  <c r="I41" i="21"/>
  <c r="G41" i="21"/>
  <c r="E41" i="21"/>
  <c r="I40" i="21"/>
  <c r="I39" i="21"/>
  <c r="I38" i="21"/>
  <c r="I37" i="21"/>
  <c r="I36" i="21"/>
  <c r="I35" i="21"/>
  <c r="I34" i="21"/>
  <c r="I33" i="21"/>
  <c r="P32" i="21"/>
  <c r="O32" i="21"/>
  <c r="T30" i="21"/>
  <c r="S30" i="21"/>
  <c r="P30" i="21"/>
  <c r="O30" i="21"/>
  <c r="T29" i="21"/>
  <c r="S29" i="21"/>
  <c r="T28" i="21"/>
  <c r="S28" i="21"/>
  <c r="P28" i="21"/>
  <c r="O28" i="21"/>
  <c r="I28" i="21"/>
  <c r="P27" i="21"/>
  <c r="O27" i="21"/>
  <c r="I27" i="21"/>
  <c r="G27" i="21"/>
  <c r="E27" i="21"/>
  <c r="T26" i="21"/>
  <c r="S26" i="21"/>
  <c r="P26" i="21"/>
  <c r="O26" i="21"/>
  <c r="I26" i="21"/>
  <c r="T25" i="21"/>
  <c r="S25" i="21"/>
  <c r="P25" i="21"/>
  <c r="O25" i="21"/>
  <c r="I25" i="21"/>
  <c r="G25" i="21"/>
  <c r="E25" i="21"/>
  <c r="T24" i="21"/>
  <c r="S24" i="21"/>
  <c r="P24" i="21"/>
  <c r="O24" i="21"/>
  <c r="I24" i="21"/>
  <c r="P23" i="21"/>
  <c r="O23" i="21"/>
  <c r="I23" i="21"/>
  <c r="G23" i="21"/>
  <c r="E23" i="21"/>
  <c r="T22" i="21"/>
  <c r="S22" i="21"/>
  <c r="P22" i="21"/>
  <c r="O22" i="21"/>
  <c r="I22" i="21"/>
  <c r="T21" i="21"/>
  <c r="S21" i="21"/>
  <c r="P21" i="21"/>
  <c r="O21" i="21"/>
  <c r="I21" i="21"/>
  <c r="G21" i="21"/>
  <c r="E21" i="21"/>
  <c r="T20" i="21"/>
  <c r="S20" i="21"/>
  <c r="P20" i="21"/>
  <c r="O20" i="21"/>
  <c r="I20" i="21"/>
  <c r="P19" i="21"/>
  <c r="O19" i="21"/>
  <c r="I19" i="21"/>
  <c r="G19" i="21"/>
  <c r="E19" i="21"/>
  <c r="T18" i="21"/>
  <c r="S18" i="21"/>
  <c r="P18" i="21"/>
  <c r="O18" i="21"/>
  <c r="I18" i="21"/>
  <c r="T17" i="21"/>
  <c r="S17" i="21"/>
  <c r="P17" i="21"/>
  <c r="O17" i="21"/>
  <c r="I17" i="21"/>
  <c r="G17" i="21"/>
  <c r="E17" i="21"/>
  <c r="T16" i="21"/>
  <c r="S16" i="21"/>
  <c r="P16" i="21"/>
  <c r="O16" i="21"/>
  <c r="I16" i="21"/>
  <c r="P15" i="21"/>
  <c r="O15" i="21"/>
  <c r="I15" i="21"/>
  <c r="G15" i="21"/>
  <c r="E15" i="21"/>
  <c r="P14" i="21"/>
  <c r="O14" i="21"/>
  <c r="I14" i="21"/>
  <c r="P13" i="21"/>
  <c r="O13" i="21"/>
  <c r="I13" i="21"/>
  <c r="G13" i="21"/>
  <c r="E13" i="21"/>
  <c r="P12" i="21"/>
  <c r="O12" i="21"/>
  <c r="I12" i="21"/>
  <c r="P11" i="21"/>
  <c r="O11" i="21"/>
  <c r="I11" i="21"/>
  <c r="G11" i="21"/>
  <c r="E11" i="21"/>
  <c r="P10" i="21"/>
  <c r="O10" i="21"/>
  <c r="I10" i="21"/>
  <c r="I9" i="21"/>
  <c r="G9" i="21"/>
  <c r="E9" i="21"/>
  <c r="P8" i="21"/>
  <c r="O8" i="21"/>
  <c r="I8" i="21"/>
  <c r="I7" i="21"/>
  <c r="G7" i="21"/>
  <c r="E7" i="21"/>
  <c r="P47" i="20"/>
  <c r="O47" i="20"/>
  <c r="P46" i="20"/>
  <c r="O46" i="20"/>
  <c r="P44" i="20"/>
  <c r="O44" i="20"/>
  <c r="I44" i="20"/>
  <c r="P43" i="20"/>
  <c r="O43" i="20"/>
  <c r="I43" i="20"/>
  <c r="G43" i="20"/>
  <c r="E43" i="20"/>
  <c r="P42" i="20"/>
  <c r="O42" i="20"/>
  <c r="I42" i="20"/>
  <c r="P41" i="20"/>
  <c r="O41" i="20"/>
  <c r="I41" i="20"/>
  <c r="G41" i="20"/>
  <c r="E41" i="20"/>
  <c r="P40" i="20"/>
  <c r="O40" i="20"/>
  <c r="I40" i="20"/>
  <c r="P39" i="20"/>
  <c r="O39" i="20"/>
  <c r="I39" i="20"/>
  <c r="G39" i="20"/>
  <c r="E39" i="20"/>
  <c r="P38" i="20"/>
  <c r="O38" i="20"/>
  <c r="I38" i="20"/>
  <c r="S37" i="20"/>
  <c r="R37" i="20"/>
  <c r="P37" i="20"/>
  <c r="O37" i="20"/>
  <c r="I37" i="20"/>
  <c r="G37" i="20"/>
  <c r="E37" i="20"/>
  <c r="S36" i="20"/>
  <c r="R36" i="20"/>
  <c r="P36" i="20"/>
  <c r="O36" i="20"/>
  <c r="I36" i="20"/>
  <c r="S35" i="20"/>
  <c r="R35" i="20"/>
  <c r="P35" i="20"/>
  <c r="O35" i="20"/>
  <c r="I35" i="20"/>
  <c r="G35" i="20"/>
  <c r="E35" i="20"/>
  <c r="P34" i="20"/>
  <c r="O34" i="20"/>
  <c r="I34" i="20"/>
  <c r="P33" i="20"/>
  <c r="O33" i="20"/>
  <c r="I33" i="20"/>
  <c r="G33" i="20"/>
  <c r="E33" i="20"/>
  <c r="P32" i="20"/>
  <c r="O32" i="20"/>
  <c r="I32" i="20"/>
  <c r="I31" i="20"/>
  <c r="G31" i="20"/>
  <c r="E31" i="20"/>
  <c r="P30" i="20"/>
  <c r="O30" i="20"/>
  <c r="I30" i="20"/>
  <c r="I29" i="20"/>
  <c r="G29" i="20"/>
  <c r="E29" i="20"/>
  <c r="I22" i="20"/>
  <c r="G22" i="20"/>
  <c r="I21" i="20"/>
  <c r="G21" i="20"/>
  <c r="I20" i="20"/>
  <c r="G20" i="20"/>
  <c r="I19" i="20"/>
  <c r="G19" i="20"/>
  <c r="I18" i="20"/>
  <c r="I17" i="20"/>
  <c r="I16" i="20"/>
  <c r="I15" i="20"/>
  <c r="I14" i="20"/>
  <c r="I13" i="20"/>
  <c r="I12" i="20"/>
  <c r="I11" i="20"/>
  <c r="I10" i="20"/>
  <c r="I9" i="20"/>
  <c r="I8" i="20"/>
  <c r="I7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7" authorId="0" shapeId="0" xr:uid="{FE46A201-CB31-4995-A865-22D2ED0FEC85}">
      <text>
        <r>
          <rPr>
            <b/>
            <sz val="9"/>
            <color indexed="81"/>
            <rFont val="MS P ゴシック"/>
            <family val="3"/>
            <charset val="128"/>
          </rPr>
          <t>自動計算が合わないため、
前年度資料数値を手入力</t>
        </r>
      </text>
    </comment>
  </commentList>
</comments>
</file>

<file path=xl/sharedStrings.xml><?xml version="1.0" encoding="utf-8"?>
<sst xmlns="http://schemas.openxmlformats.org/spreadsheetml/2006/main" count="755" uniqueCount="185">
  <si>
    <t>(1.67)%</t>
  </si>
  <si>
    <t>均等</t>
    <rPh sb="0" eb="2">
      <t>キントウ</t>
    </rPh>
    <phoneticPr fontId="2"/>
  </si>
  <si>
    <t>対前年度比較</t>
    <rPh sb="0" eb="1">
      <t>タイ</t>
    </rPh>
    <rPh sb="1" eb="4">
      <t>ゼンネンド</t>
    </rPh>
    <rPh sb="4" eb="6">
      <t>ヒカク</t>
    </rPh>
    <phoneticPr fontId="2"/>
  </si>
  <si>
    <t>(8.67)%</t>
  </si>
  <si>
    <t>690万円</t>
    <rPh sb="3" eb="5">
      <t>マンエン</t>
    </rPh>
    <phoneticPr fontId="2"/>
  </si>
  <si>
    <t>医療分　　　　　　　　　①</t>
    <rPh sb="0" eb="2">
      <t>イリョウ</t>
    </rPh>
    <rPh sb="2" eb="3">
      <t>ブン</t>
    </rPh>
    <phoneticPr fontId="2"/>
  </si>
  <si>
    <t>所得割</t>
    <rPh sb="0" eb="2">
      <t>ショトク</t>
    </rPh>
    <rPh sb="2" eb="3">
      <t>ワリ</t>
    </rPh>
    <phoneticPr fontId="2"/>
  </si>
  <si>
    <t>一人当たり保険料</t>
    <rPh sb="0" eb="2">
      <t>ヒトリ</t>
    </rPh>
    <rPh sb="2" eb="3">
      <t>ア</t>
    </rPh>
    <rPh sb="5" eb="7">
      <t>ホケン</t>
    </rPh>
    <rPh sb="7" eb="8">
      <t>リョウ</t>
    </rPh>
    <phoneticPr fontId="2"/>
  </si>
  <si>
    <t>0～33万円以下</t>
    <rPh sb="4" eb="6">
      <t>マンエン</t>
    </rPh>
    <phoneticPr fontId="2"/>
  </si>
  <si>
    <t>(10.29)%</t>
  </si>
  <si>
    <t>％</t>
  </si>
  <si>
    <t>平等割</t>
    <rPh sb="0" eb="2">
      <t>ビョウドウ</t>
    </rPh>
    <rPh sb="2" eb="3">
      <t>ワリ</t>
    </rPh>
    <phoneticPr fontId="2"/>
  </si>
  <si>
    <t>均等割</t>
    <rPh sb="0" eb="3">
      <t>キントウワ</t>
    </rPh>
    <phoneticPr fontId="2"/>
  </si>
  <si>
    <t>33万円</t>
    <rPh sb="2" eb="4">
      <t>マンエン</t>
    </rPh>
    <phoneticPr fontId="2"/>
  </si>
  <si>
    <t>支援分　　　　　　②</t>
    <rPh sb="0" eb="2">
      <t>シエン</t>
    </rPh>
    <rPh sb="2" eb="3">
      <t>ブン</t>
    </rPh>
    <phoneticPr fontId="2"/>
  </si>
  <si>
    <t>955万円</t>
    <rPh sb="3" eb="5">
      <t>マンエン</t>
    </rPh>
    <phoneticPr fontId="2"/>
  </si>
  <si>
    <t>960万円</t>
    <rPh sb="3" eb="5">
      <t>マンエン</t>
    </rPh>
    <phoneticPr fontId="2"/>
  </si>
  <si>
    <t>(6.74)%</t>
  </si>
  <si>
    <t>7割軽減　　　　　　(H25は　　　　6割軽減)</t>
    <rPh sb="1" eb="2">
      <t>ワリ</t>
    </rPh>
    <rPh sb="2" eb="4">
      <t>ケイゲン</t>
    </rPh>
    <rPh sb="20" eb="21">
      <t>ワリ</t>
    </rPh>
    <rPh sb="21" eb="23">
      <t>ケイゲン</t>
    </rPh>
    <phoneticPr fontId="2"/>
  </si>
  <si>
    <t>限度額</t>
    <rPh sb="0" eb="2">
      <t>ゲンド</t>
    </rPh>
    <rPh sb="2" eb="3">
      <t>ガク</t>
    </rPh>
    <phoneticPr fontId="2"/>
  </si>
  <si>
    <t>円</t>
    <rPh sb="0" eb="1">
      <t>エン</t>
    </rPh>
    <phoneticPr fontId="2"/>
  </si>
  <si>
    <t>(8.71)%</t>
  </si>
  <si>
    <t>介護分　　　　　　　　　③</t>
    <rPh sb="0" eb="2">
      <t>カイゴ</t>
    </rPh>
    <rPh sb="2" eb="3">
      <t>ブン</t>
    </rPh>
    <phoneticPr fontId="2"/>
  </si>
  <si>
    <t>全体分　　　　　　①+②+③</t>
    <rPh sb="0" eb="2">
      <t>ゼンタイ</t>
    </rPh>
    <rPh sb="2" eb="3">
      <t>ブン</t>
    </rPh>
    <phoneticPr fontId="2"/>
  </si>
  <si>
    <t>50万円</t>
    <rPh sb="2" eb="4">
      <t>マンエン</t>
    </rPh>
    <phoneticPr fontId="2"/>
  </si>
  <si>
    <t>所得区分</t>
    <rPh sb="0" eb="2">
      <t>ショトク</t>
    </rPh>
    <rPh sb="2" eb="4">
      <t>クブン</t>
    </rPh>
    <phoneticPr fontId="2"/>
  </si>
  <si>
    <t>被保１人</t>
  </si>
  <si>
    <t>400万円</t>
    <rPh sb="3" eb="5">
      <t>マンエン</t>
    </rPh>
    <phoneticPr fontId="2"/>
  </si>
  <si>
    <t>800万円</t>
    <rPh sb="3" eb="5">
      <t>マンエン</t>
    </rPh>
    <phoneticPr fontId="2"/>
  </si>
  <si>
    <t>(12.15)%</t>
  </si>
  <si>
    <t>（案）平成27年度
（所得負担率）</t>
  </si>
  <si>
    <t>打つだけ打ってみる</t>
    <rPh sb="0" eb="1">
      <t>ウ</t>
    </rPh>
    <rPh sb="4" eb="5">
      <t>ウ</t>
    </rPh>
    <phoneticPr fontId="2"/>
  </si>
  <si>
    <t>スペース(＝ↀωↀ＝)</t>
  </si>
  <si>
    <t>平等割額</t>
    <rPh sb="0" eb="2">
      <t>ビョウドウ</t>
    </rPh>
    <rPh sb="2" eb="3">
      <t>ワリ</t>
    </rPh>
    <rPh sb="3" eb="4">
      <t>ガク</t>
    </rPh>
    <phoneticPr fontId="2"/>
  </si>
  <si>
    <t>←</t>
  </si>
  <si>
    <t>医療</t>
    <rPh sb="0" eb="2">
      <t>イリョウ</t>
    </rPh>
    <phoneticPr fontId="2"/>
  </si>
  <si>
    <t>後期</t>
    <rPh sb="0" eb="2">
      <t>コウキ</t>
    </rPh>
    <phoneticPr fontId="2"/>
  </si>
  <si>
    <t>平成26年度（案）
（所得負担率）</t>
  </si>
  <si>
    <t>←限度額</t>
    <rPh sb="1" eb="3">
      <t>ゲンド</t>
    </rPh>
    <rPh sb="3" eb="4">
      <t>ガク</t>
    </rPh>
    <phoneticPr fontId="2"/>
  </si>
  <si>
    <t>被保２人</t>
  </si>
  <si>
    <t>介護</t>
    <rPh sb="0" eb="2">
      <t>カイゴ</t>
    </rPh>
    <phoneticPr fontId="2"/>
  </si>
  <si>
    <t>↓</t>
  </si>
  <si>
    <t>所得料率</t>
    <rPh sb="0" eb="2">
      <t>ショトク</t>
    </rPh>
    <rPh sb="2" eb="4">
      <t>リョウリツ</t>
    </rPh>
    <phoneticPr fontId="2"/>
  </si>
  <si>
    <t>(7.96)%</t>
  </si>
  <si>
    <t>←←←←←</t>
  </si>
  <si>
    <t>100万円</t>
    <rPh sb="3" eb="5">
      <t>マンエン</t>
    </rPh>
    <phoneticPr fontId="2"/>
  </si>
  <si>
    <t>平成25年度</t>
    <rPh sb="0" eb="2">
      <t>ヘイセイ</t>
    </rPh>
    <rPh sb="4" eb="6">
      <t>ネンド</t>
    </rPh>
    <phoneticPr fontId="2"/>
  </si>
  <si>
    <t>医療分</t>
    <rPh sb="0" eb="2">
      <t>イリョウ</t>
    </rPh>
    <rPh sb="2" eb="3">
      <t>ブン</t>
    </rPh>
    <phoneticPr fontId="2"/>
  </si>
  <si>
    <t>平成26年度（案）</t>
    <rPh sb="0" eb="2">
      <t>ヘイセイ</t>
    </rPh>
    <rPh sb="4" eb="6">
      <t>ネンド</t>
    </rPh>
    <rPh sb="7" eb="8">
      <t>アン</t>
    </rPh>
    <phoneticPr fontId="2"/>
  </si>
  <si>
    <t>（参考）　　　　　　　　　　　　平成24年度と　　　　　　　　　平成25年度の比較</t>
    <rPh sb="1" eb="3">
      <t>サンコウ</t>
    </rPh>
    <rPh sb="16" eb="18">
      <t>ヘイセイ</t>
    </rPh>
    <rPh sb="20" eb="22">
      <t>ネンド</t>
    </rPh>
    <rPh sb="32" eb="34">
      <t>ヘイセイ</t>
    </rPh>
    <rPh sb="36" eb="38">
      <t>ネンド</t>
    </rPh>
    <rPh sb="39" eb="41">
      <t>ヒカク</t>
    </rPh>
    <phoneticPr fontId="2"/>
  </si>
  <si>
    <t>平成25年度
（所得負担率）</t>
    <rPh sb="0" eb="2">
      <t>ヘイセイ</t>
    </rPh>
    <rPh sb="4" eb="6">
      <t>ネンド</t>
    </rPh>
    <rPh sb="8" eb="10">
      <t>ショトク</t>
    </rPh>
    <rPh sb="10" eb="12">
      <t>フタン</t>
    </rPh>
    <rPh sb="12" eb="13">
      <t>リツ</t>
    </rPh>
    <phoneticPr fontId="2"/>
  </si>
  <si>
    <t>70万円</t>
    <rPh sb="2" eb="3">
      <t>マン</t>
    </rPh>
    <rPh sb="3" eb="4">
      <t>エン</t>
    </rPh>
    <phoneticPr fontId="2"/>
  </si>
  <si>
    <t>0円</t>
    <rPh sb="1" eb="2">
      <t>エン</t>
    </rPh>
    <phoneticPr fontId="2"/>
  </si>
  <si>
    <t>被保1人</t>
  </si>
  <si>
    <t>平成26年度
（所得負担率）</t>
    <rPh sb="0" eb="2">
      <t>ヘイセイ</t>
    </rPh>
    <rPh sb="4" eb="6">
      <t>ネンド</t>
    </rPh>
    <rPh sb="8" eb="10">
      <t>ショトク</t>
    </rPh>
    <rPh sb="10" eb="12">
      <t>フタン</t>
    </rPh>
    <rPh sb="12" eb="13">
      <t>リツ</t>
    </rPh>
    <phoneticPr fontId="2"/>
  </si>
  <si>
    <t>　（参考）　　所得階層別年間保険料（軽減後）</t>
    <rPh sb="7" eb="9">
      <t>ショトク</t>
    </rPh>
    <rPh sb="18" eb="20">
      <t>ケイゲン</t>
    </rPh>
    <rPh sb="20" eb="21">
      <t>ゴ</t>
    </rPh>
    <phoneticPr fontId="2"/>
  </si>
  <si>
    <t>資料２</t>
    <rPh sb="0" eb="2">
      <t>シリョウ</t>
    </rPh>
    <phoneticPr fontId="2"/>
  </si>
  <si>
    <t>200万円</t>
    <rPh sb="3" eb="5">
      <t>マンエン</t>
    </rPh>
    <phoneticPr fontId="2"/>
  </si>
  <si>
    <t xml:space="preserve">5割・2割軽減   </t>
    <rPh sb="1" eb="2">
      <t>ワリ</t>
    </rPh>
    <rPh sb="4" eb="5">
      <t>ワリ</t>
    </rPh>
    <rPh sb="5" eb="7">
      <t>ケイゲン</t>
    </rPh>
    <phoneticPr fontId="2"/>
  </si>
  <si>
    <t>限度超過</t>
    <rPh sb="0" eb="2">
      <t>ゲンド</t>
    </rPh>
    <rPh sb="2" eb="4">
      <t>チョウカ</t>
    </rPh>
    <phoneticPr fontId="2"/>
  </si>
  <si>
    <t>対前年度比較　　　　　　　　　下段：一月当たり</t>
    <rPh sb="0" eb="1">
      <t>タイ</t>
    </rPh>
    <rPh sb="1" eb="4">
      <t>ゼンネンド</t>
    </rPh>
    <rPh sb="4" eb="6">
      <t>ヒカク</t>
    </rPh>
    <rPh sb="15" eb="17">
      <t>ゲダン</t>
    </rPh>
    <phoneticPr fontId="2"/>
  </si>
  <si>
    <t>(2.04)%</t>
  </si>
  <si>
    <t>(9.27)%</t>
  </si>
  <si>
    <t>2割軽減</t>
  </si>
  <si>
    <t>(11.58)%</t>
  </si>
  <si>
    <t>(11.92)%</t>
  </si>
  <si>
    <t>(10.92)%</t>
  </si>
  <si>
    <t>5割軽減</t>
    <rPh sb="1" eb="2">
      <t>ワリ</t>
    </rPh>
    <rPh sb="2" eb="4">
      <t>ケイゲン</t>
    </rPh>
    <phoneticPr fontId="2"/>
  </si>
  <si>
    <t>(4.40)%</t>
  </si>
  <si>
    <t>(12.48)%</t>
  </si>
  <si>
    <t>70万円</t>
    <rPh sb="2" eb="4">
      <t>マンエン</t>
    </rPh>
    <phoneticPr fontId="2"/>
  </si>
  <si>
    <t>未申告</t>
    <rPh sb="0" eb="3">
      <t>ミシンコク</t>
    </rPh>
    <phoneticPr fontId="2"/>
  </si>
  <si>
    <t>平成２６年度　国民健康保険　料率（案）</t>
    <rPh sb="0" eb="2">
      <t>ヘイセイ</t>
    </rPh>
    <rPh sb="4" eb="6">
      <t>ネンド</t>
    </rPh>
    <rPh sb="7" eb="9">
      <t>コクミン</t>
    </rPh>
    <rPh sb="9" eb="11">
      <t>ケンコウ</t>
    </rPh>
    <rPh sb="11" eb="13">
      <t>ホケン</t>
    </rPh>
    <rPh sb="14" eb="16">
      <t>リョウリツ</t>
    </rPh>
    <rPh sb="17" eb="18">
      <t>アン</t>
    </rPh>
    <phoneticPr fontId="2"/>
  </si>
  <si>
    <t>7割軽減</t>
    <rPh sb="1" eb="2">
      <t>ワリ</t>
    </rPh>
    <rPh sb="2" eb="4">
      <t>ケイゲン</t>
    </rPh>
    <phoneticPr fontId="2"/>
  </si>
  <si>
    <t>58万円</t>
    <rPh sb="2" eb="3">
      <t>マン</t>
    </rPh>
    <rPh sb="3" eb="4">
      <t>エン</t>
    </rPh>
    <phoneticPr fontId="2"/>
  </si>
  <si>
    <t>79万円</t>
    <rPh sb="2" eb="3">
      <t>マン</t>
    </rPh>
    <rPh sb="3" eb="4">
      <t>エン</t>
    </rPh>
    <phoneticPr fontId="2"/>
  </si>
  <si>
    <t>内容</t>
    <rPh sb="0" eb="2">
      <t>ナイヨウ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</si>
  <si>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</si>
  <si>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</si>
  <si>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前年比</t>
    <rPh sb="0" eb="2">
      <t>ゼンネン</t>
    </rPh>
    <phoneticPr fontId="2"/>
  </si>
  <si>
    <t>351万円超～589.5万円以下</t>
    <rPh sb="3" eb="5">
      <t>マンエン</t>
    </rPh>
    <rPh sb="5" eb="6">
      <t>チョウ</t>
    </rPh>
    <rPh sb="12" eb="14">
      <t>マンエン</t>
    </rPh>
    <phoneticPr fontId="2"/>
  </si>
  <si>
    <t>33万円超～106.5万円以下</t>
    <rPh sb="2" eb="4">
      <t>マンエン</t>
    </rPh>
    <rPh sb="4" eb="5">
      <t>チョウ</t>
    </rPh>
    <rPh sb="11" eb="13">
      <t>マンエン</t>
    </rPh>
    <phoneticPr fontId="2"/>
  </si>
  <si>
    <t>106.5万円超～180万円以下</t>
    <rPh sb="5" eb="7">
      <t>マンエン</t>
    </rPh>
    <rPh sb="7" eb="8">
      <t>チョウ</t>
    </rPh>
    <rPh sb="12" eb="14">
      <t>マンエン</t>
    </rPh>
    <phoneticPr fontId="2"/>
  </si>
  <si>
    <t>180万円超～351.5万円以下</t>
    <rPh sb="3" eb="5">
      <t>マンエン</t>
    </rPh>
    <rPh sb="5" eb="6">
      <t>チョウ</t>
    </rPh>
    <rPh sb="12" eb="14">
      <t>マンエン</t>
    </rPh>
    <phoneticPr fontId="2"/>
  </si>
  <si>
    <t>351.5万円超～596.5万円以下</t>
    <rPh sb="5" eb="7">
      <t>マンエン</t>
    </rPh>
    <rPh sb="7" eb="8">
      <t>チョウ</t>
    </rPh>
    <rPh sb="14" eb="16">
      <t>マンエン</t>
    </rPh>
    <phoneticPr fontId="2"/>
  </si>
  <si>
    <t>114万円超～195万円以下</t>
    <rPh sb="3" eb="5">
      <t>マンエン</t>
    </rPh>
    <rPh sb="5" eb="6">
      <t>チョウ</t>
    </rPh>
    <rPh sb="10" eb="12">
      <t>マンエン</t>
    </rPh>
    <phoneticPr fontId="2"/>
  </si>
  <si>
    <t>596.5万円超～1,000万円以下</t>
    <rPh sb="5" eb="7">
      <t>マンエン</t>
    </rPh>
    <rPh sb="7" eb="8">
      <t>チョウ</t>
    </rPh>
    <rPh sb="14" eb="16">
      <t>マンエン</t>
    </rPh>
    <phoneticPr fontId="2"/>
  </si>
  <si>
    <t>1,000万円以上</t>
    <rPh sb="5" eb="7">
      <t>マンエン</t>
    </rPh>
    <rPh sb="7" eb="9">
      <t>イジョウ</t>
    </rPh>
    <phoneticPr fontId="2"/>
  </si>
  <si>
    <t>合　　計</t>
    <rPh sb="0" eb="1">
      <t>ゴウ</t>
    </rPh>
    <rPh sb="3" eb="4">
      <t>ケイ</t>
    </rPh>
    <phoneticPr fontId="2"/>
  </si>
  <si>
    <t>　（参考）　　本市の所得別世帯割合</t>
    <rPh sb="7" eb="9">
      <t>ホンシ</t>
    </rPh>
    <rPh sb="10" eb="12">
      <t>ショトク</t>
    </rPh>
    <rPh sb="12" eb="13">
      <t>ベツ</t>
    </rPh>
    <rPh sb="13" eb="15">
      <t>セタイ</t>
    </rPh>
    <rPh sb="15" eb="17">
      <t>ワリアイ</t>
    </rPh>
    <phoneticPr fontId="2"/>
  </si>
  <si>
    <t>資料６</t>
    <rPh sb="0" eb="2">
      <t>シリョウ</t>
    </rPh>
    <phoneticPr fontId="2"/>
  </si>
  <si>
    <t>700万円</t>
    <rPh sb="3" eb="5">
      <t>マンエン</t>
    </rPh>
    <phoneticPr fontId="2"/>
  </si>
  <si>
    <t>後期支援金分</t>
    <rPh sb="0" eb="2">
      <t>コウキ</t>
    </rPh>
    <rPh sb="2" eb="5">
      <t>シエンキン</t>
    </rPh>
    <rPh sb="5" eb="6">
      <t>ブン</t>
    </rPh>
    <phoneticPr fontId="2"/>
  </si>
  <si>
    <t>630万円</t>
    <rPh sb="3" eb="5">
      <t>マンエン</t>
    </rPh>
    <phoneticPr fontId="2"/>
  </si>
  <si>
    <t>680万円</t>
    <rPh sb="3" eb="5">
      <t>マンエン</t>
    </rPh>
    <phoneticPr fontId="2"/>
  </si>
  <si>
    <t>(10.01)%</t>
  </si>
  <si>
    <t>(10.43)%</t>
  </si>
  <si>
    <t>(10.31)%</t>
  </si>
  <si>
    <t xml:space="preserve"> 介護
 限度</t>
    <rPh sb="1" eb="3">
      <t>カイゴ</t>
    </rPh>
    <rPh sb="5" eb="7">
      <t>ゲンド</t>
    </rPh>
    <phoneticPr fontId="2"/>
  </si>
  <si>
    <t>後期介護限度</t>
    <rPh sb="0" eb="2">
      <t>コウキ</t>
    </rPh>
    <phoneticPr fontId="2"/>
  </si>
  <si>
    <t>医療限度</t>
    <rPh sb="0" eb="2">
      <t>イリョウ</t>
    </rPh>
    <rPh sb="2" eb="4">
      <t>ゲンド</t>
    </rPh>
    <phoneticPr fontId="2"/>
  </si>
  <si>
    <t>(9.87)%</t>
  </si>
  <si>
    <t>　（参考）　　所得階層別年間保険料（軽減措置及び賦課限度額）</t>
    <rPh sb="7" eb="9">
      <t>ショトク</t>
    </rPh>
    <rPh sb="18" eb="20">
      <t>ケイゲン</t>
    </rPh>
    <rPh sb="20" eb="22">
      <t>ソチ</t>
    </rPh>
    <rPh sb="22" eb="23">
      <t>オヨ</t>
    </rPh>
    <rPh sb="24" eb="26">
      <t>フカ</t>
    </rPh>
    <rPh sb="26" eb="28">
      <t>ゲンド</t>
    </rPh>
    <rPh sb="28" eb="29">
      <t>ガク</t>
    </rPh>
    <phoneticPr fontId="2"/>
  </si>
  <si>
    <t>(8.44)%</t>
  </si>
  <si>
    <t>(8.85)%</t>
  </si>
  <si>
    <t>(6.82)%</t>
  </si>
  <si>
    <t>(5.15)%</t>
  </si>
  <si>
    <t>33万円超～114万円以下</t>
    <rPh sb="2" eb="4">
      <t>マンエン</t>
    </rPh>
    <rPh sb="4" eb="5">
      <t>チョウ</t>
    </rPh>
    <rPh sb="9" eb="11">
      <t>マンエン</t>
    </rPh>
    <phoneticPr fontId="2"/>
  </si>
  <si>
    <t>(9.93)%</t>
  </si>
  <si>
    <t>(8.82)%</t>
  </si>
  <si>
    <t>平成28年度</t>
    <rPh sb="0" eb="2">
      <t>ヘイセイ</t>
    </rPh>
    <rPh sb="4" eb="6">
      <t>ネンド</t>
    </rPh>
    <phoneticPr fontId="2"/>
  </si>
  <si>
    <t>医療料率</t>
    <rPh sb="0" eb="2">
      <t>イリョウ</t>
    </rPh>
    <rPh sb="2" eb="4">
      <t>リョウリツ</t>
    </rPh>
    <phoneticPr fontId="2"/>
  </si>
  <si>
    <t>平等</t>
    <rPh sb="0" eb="2">
      <t>ビョウドウ</t>
    </rPh>
    <phoneticPr fontId="2"/>
  </si>
  <si>
    <t>後期料率</t>
    <rPh sb="0" eb="2">
      <t>コウキ</t>
    </rPh>
    <rPh sb="2" eb="4">
      <t>リョウリツ</t>
    </rPh>
    <phoneticPr fontId="2"/>
  </si>
  <si>
    <t>介護料率</t>
    <rPh sb="0" eb="2">
      <t>カイゴ</t>
    </rPh>
    <rPh sb="2" eb="4">
      <t>リョウリツ</t>
    </rPh>
    <phoneticPr fontId="2"/>
  </si>
  <si>
    <t>790万円</t>
    <rPh sb="3" eb="5">
      <t>マンエン</t>
    </rPh>
    <phoneticPr fontId="2"/>
  </si>
  <si>
    <t>介護限度</t>
    <rPh sb="0" eb="2">
      <t>カイゴ</t>
    </rPh>
    <rPh sb="2" eb="4">
      <t>ゲンド</t>
    </rPh>
    <phoneticPr fontId="2"/>
  </si>
  <si>
    <t>後期限度</t>
    <rPh sb="0" eb="2">
      <t>コウキ</t>
    </rPh>
    <rPh sb="2" eb="4">
      <t>ゲンド</t>
    </rPh>
    <phoneticPr fontId="2"/>
  </si>
  <si>
    <t>赤字部分の数字の入力で自動計算</t>
    <rPh sb="0" eb="2">
      <t>アカジ</t>
    </rPh>
    <rPh sb="2" eb="4">
      <t>ブブン</t>
    </rPh>
    <rPh sb="5" eb="7">
      <t>スウジ</t>
    </rPh>
    <rPh sb="8" eb="10">
      <t>ニュウリョク</t>
    </rPh>
    <rPh sb="11" eb="13">
      <t>ジドウ</t>
    </rPh>
    <rPh sb="13" eb="15">
      <t>ケイサン</t>
    </rPh>
    <phoneticPr fontId="2"/>
  </si>
  <si>
    <t>後期介護限度</t>
  </si>
  <si>
    <t>　所得階層別年間保険料（軽減措置及び賦課限度額）</t>
    <rPh sb="1" eb="3">
      <t>ショトク</t>
    </rPh>
    <rPh sb="12" eb="14">
      <t>ケイゲン</t>
    </rPh>
    <rPh sb="14" eb="16">
      <t>ソチ</t>
    </rPh>
    <rPh sb="16" eb="17">
      <t>オヨ</t>
    </rPh>
    <rPh sb="18" eb="20">
      <t>フカ</t>
    </rPh>
    <rPh sb="20" eb="22">
      <t>ゲンド</t>
    </rPh>
    <rPh sb="22" eb="23">
      <t>ガク</t>
    </rPh>
    <phoneticPr fontId="2"/>
  </si>
  <si>
    <t>　（参考）　</t>
  </si>
  <si>
    <t>所得別世帯割合</t>
    <rPh sb="0" eb="2">
      <t>ショトク</t>
    </rPh>
    <rPh sb="2" eb="3">
      <t>ベツ</t>
    </rPh>
    <rPh sb="3" eb="5">
      <t>セタイ</t>
    </rPh>
    <rPh sb="5" eb="7">
      <t>ワリアイ</t>
    </rPh>
    <phoneticPr fontId="2"/>
  </si>
  <si>
    <t>資料３</t>
    <rPh sb="0" eb="2">
      <t>シリョウ</t>
    </rPh>
    <phoneticPr fontId="2"/>
  </si>
  <si>
    <t>60万円</t>
    <rPh sb="2" eb="3">
      <t>マン</t>
    </rPh>
    <rPh sb="3" eb="4">
      <t>エン</t>
    </rPh>
    <phoneticPr fontId="2"/>
  </si>
  <si>
    <t>82万円</t>
    <rPh sb="2" eb="3">
      <t>マン</t>
    </rPh>
    <rPh sb="3" eb="4">
      <t>エン</t>
    </rPh>
    <phoneticPr fontId="2"/>
  </si>
  <si>
    <t>平成29年度</t>
    <rPh sb="0" eb="2">
      <t>ヘイセイ</t>
    </rPh>
    <rPh sb="4" eb="6">
      <t>ネンド</t>
    </rPh>
    <phoneticPr fontId="2"/>
  </si>
  <si>
    <t>573万円超～1,000万円以下</t>
    <rPh sb="3" eb="5">
      <t>マンエン</t>
    </rPh>
    <rPh sb="5" eb="6">
      <t>チョウ</t>
    </rPh>
    <rPh sb="12" eb="14">
      <t>マンエン</t>
    </rPh>
    <phoneticPr fontId="2"/>
  </si>
  <si>
    <t>195万円超～357万円以下</t>
    <rPh sb="3" eb="5">
      <t>マンエン</t>
    </rPh>
    <rPh sb="5" eb="6">
      <t>チョウ</t>
    </rPh>
    <rPh sb="10" eb="12">
      <t>マンエン</t>
    </rPh>
    <phoneticPr fontId="2"/>
  </si>
  <si>
    <t>357万円超～573万円以下</t>
    <rPh sb="3" eb="5">
      <t>マンエン</t>
    </rPh>
    <rPh sb="5" eb="6">
      <t>チョウ</t>
    </rPh>
    <rPh sb="10" eb="12">
      <t>マンエン</t>
    </rPh>
    <phoneticPr fontId="2"/>
  </si>
  <si>
    <t>71万円</t>
    <rPh sb="2" eb="4">
      <t>マンエン</t>
    </rPh>
    <phoneticPr fontId="2"/>
  </si>
  <si>
    <t>47万円</t>
    <rPh sb="2" eb="4">
      <t>マンエン</t>
    </rPh>
    <phoneticPr fontId="2"/>
  </si>
  <si>
    <t>介護限度</t>
  </si>
  <si>
    <r>
      <t xml:space="preserve">平成28年度保険料
</t>
    </r>
    <r>
      <rPr>
        <sz val="9"/>
        <color indexed="8"/>
        <rFont val="ＭＳ 明朝"/>
        <family val="1"/>
        <charset val="128"/>
      </rPr>
      <t>（所得に対する負担率）</t>
    </r>
    <rPh sb="0" eb="2">
      <t>ヘイセイ</t>
    </rPh>
    <rPh sb="4" eb="6">
      <t>ネンド</t>
    </rPh>
    <rPh sb="6" eb="9">
      <t>ホケンリョウ</t>
    </rPh>
    <rPh sb="11" eb="13">
      <t>ショトク</t>
    </rPh>
    <rPh sb="14" eb="15">
      <t>タイ</t>
    </rPh>
    <rPh sb="17" eb="19">
      <t>フタン</t>
    </rPh>
    <rPh sb="19" eb="20">
      <t>リツ</t>
    </rPh>
    <phoneticPr fontId="2"/>
  </si>
  <si>
    <r>
      <t xml:space="preserve">平成29年度保険料
</t>
    </r>
    <r>
      <rPr>
        <sz val="9"/>
        <color indexed="8"/>
        <rFont val="ＭＳ 明朝"/>
        <family val="1"/>
        <charset val="128"/>
      </rPr>
      <t>（所得に対する負担率）</t>
    </r>
  </si>
  <si>
    <t>平成27年度
（所得負担率）</t>
    <rPh sb="0" eb="2">
      <t>ヘイセイ</t>
    </rPh>
    <rPh sb="4" eb="6">
      <t>ネンド</t>
    </rPh>
    <rPh sb="8" eb="10">
      <t>ショトク</t>
    </rPh>
    <rPh sb="10" eb="12">
      <t>フタン</t>
    </rPh>
    <rPh sb="12" eb="13">
      <t>リツ</t>
    </rPh>
    <phoneticPr fontId="2"/>
  </si>
  <si>
    <t>平成28年度
（所得負担率）</t>
  </si>
  <si>
    <t>59万円</t>
    <rPh sb="2" eb="4">
      <t>マンエン</t>
    </rPh>
    <phoneticPr fontId="2"/>
  </si>
  <si>
    <t>59.5万円</t>
    <rPh sb="4" eb="5">
      <t>マン</t>
    </rPh>
    <rPh sb="5" eb="6">
      <t>エン</t>
    </rPh>
    <phoneticPr fontId="2"/>
  </si>
  <si>
    <t>80万円</t>
    <rPh sb="2" eb="4">
      <t>マンエン</t>
    </rPh>
    <phoneticPr fontId="2"/>
  </si>
  <si>
    <t>81万円</t>
    <rPh sb="2" eb="3">
      <t>マン</t>
    </rPh>
    <rPh sb="3" eb="4">
      <t>エン</t>
    </rPh>
    <phoneticPr fontId="2"/>
  </si>
  <si>
    <t>33万円超～112.5万円以下</t>
    <rPh sb="2" eb="4">
      <t>マンエン</t>
    </rPh>
    <rPh sb="4" eb="5">
      <t>チョウ</t>
    </rPh>
    <rPh sb="11" eb="13">
      <t>マンエン</t>
    </rPh>
    <phoneticPr fontId="2"/>
  </si>
  <si>
    <t>112.5万円超～192万円以下</t>
    <rPh sb="5" eb="7">
      <t>マンエン</t>
    </rPh>
    <rPh sb="7" eb="8">
      <t>チョウ</t>
    </rPh>
    <rPh sb="12" eb="14">
      <t>マンエン</t>
    </rPh>
    <phoneticPr fontId="2"/>
  </si>
  <si>
    <t>192万円超～351万円以下</t>
    <rPh sb="3" eb="5">
      <t>マンエン</t>
    </rPh>
    <rPh sb="5" eb="6">
      <t>チョウ</t>
    </rPh>
    <rPh sb="10" eb="12">
      <t>マンエン</t>
    </rPh>
    <phoneticPr fontId="2"/>
  </si>
  <si>
    <t>589.5万円超～1,000万円以下</t>
    <rPh sb="5" eb="7">
      <t>マンエン</t>
    </rPh>
    <rPh sb="7" eb="8">
      <t>チョウ</t>
    </rPh>
    <rPh sb="14" eb="16">
      <t>マンエン</t>
    </rPh>
    <phoneticPr fontId="2"/>
  </si>
  <si>
    <t>均等割額</t>
    <rPh sb="0" eb="2">
      <t>キントウ</t>
    </rPh>
    <rPh sb="2" eb="3">
      <t>ワ</t>
    </rPh>
    <rPh sb="3" eb="4">
      <t>ガク</t>
    </rPh>
    <phoneticPr fontId="2"/>
  </si>
  <si>
    <t>介護納付金分</t>
    <rPh sb="0" eb="2">
      <t>カイゴ</t>
    </rPh>
    <rPh sb="2" eb="5">
      <t>ノウフキン</t>
    </rPh>
    <rPh sb="5" eb="6">
      <t>ブン</t>
    </rPh>
    <phoneticPr fontId="2"/>
  </si>
  <si>
    <t>平成30年度</t>
    <rPh sb="0" eb="2">
      <t>ヘイセイ</t>
    </rPh>
    <rPh sb="4" eb="6">
      <t>ネンド</t>
    </rPh>
    <phoneticPr fontId="2"/>
  </si>
  <si>
    <t>1100万円</t>
    <rPh sb="4" eb="6">
      <t>マンエン</t>
    </rPh>
    <phoneticPr fontId="2"/>
  </si>
  <si>
    <r>
      <t xml:space="preserve">平成30年度保険料
</t>
    </r>
    <r>
      <rPr>
        <sz val="9"/>
        <color indexed="8"/>
        <rFont val="ＭＳ 明朝"/>
        <family val="1"/>
        <charset val="128"/>
      </rPr>
      <t>（所得に対する負担率）</t>
    </r>
    <rPh sb="0" eb="2">
      <t>ヘイセイ</t>
    </rPh>
    <rPh sb="4" eb="6">
      <t>ネンド</t>
    </rPh>
    <rPh sb="6" eb="9">
      <t>ホケンリョウ</t>
    </rPh>
    <rPh sb="11" eb="13">
      <t>ショトク</t>
    </rPh>
    <rPh sb="14" eb="15">
      <t>タイ</t>
    </rPh>
    <rPh sb="17" eb="19">
      <t>フタン</t>
    </rPh>
    <rPh sb="19" eb="20">
      <t>リツ</t>
    </rPh>
    <phoneticPr fontId="2"/>
  </si>
  <si>
    <r>
      <t xml:space="preserve">平成29年度保険料
</t>
    </r>
    <r>
      <rPr>
        <sz val="9"/>
        <color indexed="8"/>
        <rFont val="ＭＳ 明朝"/>
        <family val="1"/>
        <charset val="128"/>
      </rPr>
      <t>（所得に対する負担率）</t>
    </r>
    <rPh sb="0" eb="2">
      <t>ヘイセイ</t>
    </rPh>
    <rPh sb="4" eb="6">
      <t>ネンド</t>
    </rPh>
    <rPh sb="6" eb="9">
      <t>ホケンリョウ</t>
    </rPh>
    <rPh sb="11" eb="13">
      <t>ショトク</t>
    </rPh>
    <rPh sb="14" eb="15">
      <t>タイ</t>
    </rPh>
    <rPh sb="17" eb="19">
      <t>フタン</t>
    </rPh>
    <rPh sb="19" eb="20">
      <t>リツ</t>
    </rPh>
    <phoneticPr fontId="2"/>
  </si>
  <si>
    <t>R2</t>
  </si>
  <si>
    <t>R3</t>
  </si>
  <si>
    <t>43万円</t>
    <rPh sb="2" eb="4">
      <t>マンエン</t>
    </rPh>
    <phoneticPr fontId="2"/>
  </si>
  <si>
    <t>57万円</t>
    <rPh sb="2" eb="4">
      <t>マンエン</t>
    </rPh>
    <phoneticPr fontId="2"/>
  </si>
  <si>
    <t>81万円</t>
    <rPh sb="2" eb="4">
      <t>マンエン</t>
    </rPh>
    <phoneticPr fontId="2"/>
  </si>
  <si>
    <t>92万円</t>
    <rPh sb="2" eb="3">
      <t>マン</t>
    </rPh>
    <rPh sb="3" eb="4">
      <t>エン</t>
    </rPh>
    <phoneticPr fontId="2"/>
  </si>
  <si>
    <t>110万円</t>
    <rPh sb="3" eb="5">
      <t>マンエン</t>
    </rPh>
    <phoneticPr fontId="2"/>
  </si>
  <si>
    <t>210万円</t>
    <rPh sb="3" eb="5">
      <t>マンエン</t>
    </rPh>
    <phoneticPr fontId="2"/>
  </si>
  <si>
    <t>310万円</t>
    <rPh sb="3" eb="5">
      <t>マンエン</t>
    </rPh>
    <phoneticPr fontId="2"/>
  </si>
  <si>
    <t>410万円</t>
    <rPh sb="3" eb="5">
      <t>マンエン</t>
    </rPh>
    <phoneticPr fontId="2"/>
  </si>
  <si>
    <t>1110万円</t>
    <rPh sb="4" eb="6">
      <t>マンエン</t>
    </rPh>
    <phoneticPr fontId="2"/>
  </si>
  <si>
    <t>R4</t>
    <phoneticPr fontId="29"/>
  </si>
  <si>
    <r>
      <t xml:space="preserve">令和４年度保険料
</t>
    </r>
    <r>
      <rPr>
        <sz val="9"/>
        <color indexed="8"/>
        <rFont val="ＭＳ 明朝"/>
        <family val="1"/>
        <charset val="128"/>
      </rPr>
      <t>（所得に対する負担率）</t>
    </r>
    <rPh sb="0" eb="2">
      <t>レイワ</t>
    </rPh>
    <rPh sb="3" eb="5">
      <t>ネンド</t>
    </rPh>
    <rPh sb="5" eb="8">
      <t>ホケンリョウ</t>
    </rPh>
    <rPh sb="10" eb="12">
      <t>ショトク</t>
    </rPh>
    <rPh sb="13" eb="14">
      <t>タイ</t>
    </rPh>
    <rPh sb="16" eb="18">
      <t>フタン</t>
    </rPh>
    <rPh sb="18" eb="19">
      <t>リツ</t>
    </rPh>
    <phoneticPr fontId="2"/>
  </si>
  <si>
    <r>
      <t xml:space="preserve">令和５年度保険料
</t>
    </r>
    <r>
      <rPr>
        <sz val="9"/>
        <color indexed="8"/>
        <rFont val="ＭＳ 明朝"/>
        <family val="1"/>
        <charset val="128"/>
      </rPr>
      <t>（所得に対する負担率）</t>
    </r>
    <rPh sb="0" eb="2">
      <t>レイワ</t>
    </rPh>
    <rPh sb="4" eb="5">
      <t>ド</t>
    </rPh>
    <rPh sb="5" eb="8">
      <t>ホケンリョウ</t>
    </rPh>
    <rPh sb="10" eb="12">
      <t>ショトク</t>
    </rPh>
    <rPh sb="13" eb="14">
      <t>タイ</t>
    </rPh>
    <rPh sb="16" eb="18">
      <t>フタン</t>
    </rPh>
    <rPh sb="18" eb="19">
      <t>リツ</t>
    </rPh>
    <phoneticPr fontId="2"/>
  </si>
  <si>
    <t>R5</t>
    <phoneticPr fontId="29"/>
  </si>
  <si>
    <t>R$</t>
    <phoneticPr fontId="29"/>
  </si>
  <si>
    <t>R4</t>
    <phoneticPr fontId="29"/>
  </si>
  <si>
    <t>R5</t>
    <phoneticPr fontId="29"/>
  </si>
  <si>
    <t>軽減なし</t>
    <rPh sb="0" eb="2">
      <t>ケイゲン</t>
    </rPh>
    <phoneticPr fontId="29"/>
  </si>
  <si>
    <t>内容</t>
    <rPh sb="0" eb="2">
      <t>ナイヨウ</t>
    </rPh>
    <phoneticPr fontId="29"/>
  </si>
  <si>
    <t>0～43万円以下</t>
    <rPh sb="4" eb="6">
      <t>マンエン</t>
    </rPh>
    <rPh sb="6" eb="8">
      <t>イカ</t>
    </rPh>
    <phoneticPr fontId="29"/>
  </si>
  <si>
    <t>43万円～124万円以下</t>
    <rPh sb="2" eb="4">
      <t>マンエン</t>
    </rPh>
    <rPh sb="8" eb="10">
      <t>マンエン</t>
    </rPh>
    <rPh sb="10" eb="12">
      <t>イカ</t>
    </rPh>
    <phoneticPr fontId="29"/>
  </si>
  <si>
    <t>205万円～367万円以下</t>
    <rPh sb="3" eb="5">
      <t>マンエン</t>
    </rPh>
    <rPh sb="9" eb="11">
      <t>マンエン</t>
    </rPh>
    <rPh sb="11" eb="13">
      <t>イカ</t>
    </rPh>
    <phoneticPr fontId="29"/>
  </si>
  <si>
    <t>367万円～583万円以下</t>
    <rPh sb="3" eb="5">
      <t>マンエン</t>
    </rPh>
    <rPh sb="9" eb="11">
      <t>マンエン</t>
    </rPh>
    <rPh sb="11" eb="13">
      <t>イカ</t>
    </rPh>
    <phoneticPr fontId="29"/>
  </si>
  <si>
    <t>583万円～1,000万円以下</t>
    <rPh sb="3" eb="5">
      <t>マンエン</t>
    </rPh>
    <rPh sb="11" eb="13">
      <t>マンエン</t>
    </rPh>
    <rPh sb="13" eb="15">
      <t>イカ</t>
    </rPh>
    <phoneticPr fontId="29"/>
  </si>
  <si>
    <t>1,000万円以上</t>
    <rPh sb="5" eb="7">
      <t>マンエン</t>
    </rPh>
    <rPh sb="7" eb="9">
      <t>イジョウ</t>
    </rPh>
    <phoneticPr fontId="29"/>
  </si>
  <si>
    <t>未申告</t>
    <rPh sb="0" eb="3">
      <t>ミシンコク</t>
    </rPh>
    <phoneticPr fontId="29"/>
  </si>
  <si>
    <t>令和４年度</t>
    <rPh sb="0" eb="2">
      <t>レイワ</t>
    </rPh>
    <rPh sb="3" eb="5">
      <t>ネンド</t>
    </rPh>
    <phoneticPr fontId="29"/>
  </si>
  <si>
    <t>124万円～205万円以下</t>
    <rPh sb="3" eb="5">
      <t>マンエン</t>
    </rPh>
    <rPh sb="9" eb="11">
      <t>マンエン</t>
    </rPh>
    <rPh sb="11" eb="13">
      <t>イカ</t>
    </rPh>
    <phoneticPr fontId="29"/>
  </si>
  <si>
    <t>令和５年度</t>
    <rPh sb="0" eb="2">
      <t>レイワ</t>
    </rPh>
    <rPh sb="3" eb="5">
      <t>ネンド</t>
    </rPh>
    <phoneticPr fontId="29"/>
  </si>
  <si>
    <t>合計</t>
    <rPh sb="0" eb="2">
      <t>ゴウケイ</t>
    </rPh>
    <phoneticPr fontId="29"/>
  </si>
  <si>
    <t>単位：％</t>
    <rPh sb="0" eb="2">
      <t>タンイ</t>
    </rPh>
    <phoneticPr fontId="29"/>
  </si>
  <si>
    <t>前年比</t>
    <rPh sb="0" eb="3">
      <t>ゼンネンヒ</t>
    </rPh>
    <phoneticPr fontId="29"/>
  </si>
  <si>
    <t>資料３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</si>
</sst>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.00_ "/>
    <numFmt numFmtId="177" formatCode="#,#00&quot;円&quot;"/>
    <numFmt numFmtId="178" formatCode="0.00;_"/>
    <numFmt numFmtId="179" formatCode="0.00;_堀"/>
    <numFmt numFmtId="180" formatCode="\(00.00%\)"/>
    <numFmt numFmtId="181" formatCode="#,##0_ ;[Red]\-#,##0\ "/>
    <numFmt numFmtId="182" formatCode="#,##0_);\(#,##0\)"/>
    <numFmt numFmtId="183" formatCode="#,##0.00_);\(#,##0.00\)"/>
    <numFmt numFmtId="184" formatCode="#,##0_ "/>
    <numFmt numFmtId="185" formatCode="0.0%"/>
    <numFmt numFmtId="186" formatCode="0.00_);\(0.00\)&quot;%&quot;"/>
    <numFmt numFmtId="187" formatCode="&quot;(&quot;0.00&quot;)&quot;%"/>
  </numFmts>
  <fonts count="3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  <scheme val="minor"/>
    </font>
    <font>
      <sz val="11"/>
      <color indexed="8"/>
      <name val="ＭＳ 明朝"/>
      <family val="1"/>
    </font>
    <font>
      <sz val="10"/>
      <color indexed="8"/>
      <name val="ＭＳ 明朝"/>
      <family val="1"/>
    </font>
    <font>
      <b/>
      <sz val="18"/>
      <color indexed="8"/>
      <name val="ＭＳ ゴシック"/>
      <family val="3"/>
    </font>
    <font>
      <sz val="12"/>
      <color indexed="8"/>
      <name val="ＭＳ 明朝"/>
      <family val="1"/>
    </font>
    <font>
      <sz val="9"/>
      <color indexed="8"/>
      <name val="ＭＳ 明朝"/>
      <family val="1"/>
    </font>
    <font>
      <sz val="14"/>
      <color indexed="8"/>
      <name val="ＭＳ 明朝"/>
      <family val="1"/>
    </font>
    <font>
      <sz val="11"/>
      <color indexed="8"/>
      <name val="ＭＳ Ｐゴシック"/>
      <family val="3"/>
    </font>
    <font>
      <sz val="11"/>
      <color theme="1"/>
      <name val="ＭＳ Ｐゴシック"/>
      <family val="3"/>
      <scheme val="minor"/>
    </font>
    <font>
      <b/>
      <sz val="12"/>
      <color indexed="8"/>
      <name val="ＭＳ 明朝"/>
      <family val="1"/>
    </font>
    <font>
      <b/>
      <sz val="11"/>
      <color indexed="8"/>
      <name val="ＭＳ 明朝"/>
      <family val="1"/>
    </font>
    <font>
      <b/>
      <sz val="14"/>
      <color indexed="8"/>
      <name val="ＭＳ 明朝"/>
      <family val="1"/>
    </font>
    <font>
      <sz val="16"/>
      <color indexed="8"/>
      <name val="ＭＳ 明朝"/>
      <family val="1"/>
    </font>
    <font>
      <sz val="11"/>
      <color rgb="FFFFFF00"/>
      <name val="ＭＳ 明朝"/>
      <family val="1"/>
    </font>
    <font>
      <sz val="11"/>
      <color theme="0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ＭＳ 明朝"/>
      <family val="1"/>
    </font>
    <font>
      <sz val="12"/>
      <color theme="1"/>
      <name val="ＭＳ 明朝"/>
      <family val="1"/>
    </font>
    <font>
      <sz val="11"/>
      <name val="ＭＳ 明朝"/>
      <family val="1"/>
    </font>
    <font>
      <sz val="18"/>
      <color indexed="8"/>
      <name val="ＭＳ Ｐ明朝"/>
      <family val="1"/>
    </font>
    <font>
      <sz val="12"/>
      <color theme="1"/>
      <name val="ＭＳ Ｐゴシック"/>
      <family val="3"/>
      <scheme val="minor"/>
    </font>
    <font>
      <b/>
      <sz val="18"/>
      <color indexed="8"/>
      <name val="ＭＳ Ｐゴシック"/>
      <family val="3"/>
    </font>
    <font>
      <sz val="14"/>
      <color indexed="8"/>
      <name val="MS UI Gothic"/>
      <family val="3"/>
    </font>
    <font>
      <sz val="14"/>
      <color theme="1"/>
      <name val="MS UI Gothic"/>
      <family val="3"/>
    </font>
    <font>
      <sz val="10"/>
      <color theme="1"/>
      <name val="ＭＳ 明朝"/>
      <family val="1"/>
    </font>
    <font>
      <sz val="9"/>
      <color indexed="8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/>
      <diagonal/>
    </border>
    <border>
      <left/>
      <right style="double">
        <color indexed="64"/>
      </right>
      <top/>
      <bottom style="thin">
        <color auto="1"/>
      </bottom>
      <diagonal/>
    </border>
    <border>
      <left style="double">
        <color indexed="64"/>
      </left>
      <right/>
      <top style="thin">
        <color auto="1"/>
      </top>
      <bottom/>
      <diagonal/>
    </border>
    <border>
      <left style="double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theme="1"/>
      </right>
      <top style="thin">
        <color auto="1"/>
      </top>
      <bottom/>
      <diagonal/>
    </border>
    <border>
      <left/>
      <right style="medium">
        <color theme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  <xf numFmtId="6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45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38" fontId="4" fillId="0" borderId="0" xfId="2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right" vertical="center"/>
    </xf>
    <xf numFmtId="38" fontId="6" fillId="0" borderId="13" xfId="2" applyFont="1" applyBorder="1" applyAlignment="1">
      <alignment horizontal="right" vertical="center"/>
    </xf>
    <xf numFmtId="38" fontId="6" fillId="0" borderId="14" xfId="2" applyFont="1" applyBorder="1" applyAlignment="1">
      <alignment horizontal="right" vertical="center"/>
    </xf>
    <xf numFmtId="38" fontId="6" fillId="0" borderId="15" xfId="2" applyFont="1" applyBorder="1" applyAlignment="1">
      <alignment horizontal="right" vertical="center"/>
    </xf>
    <xf numFmtId="176" fontId="6" fillId="0" borderId="30" xfId="0" applyNumberFormat="1" applyFont="1" applyBorder="1" applyAlignment="1">
      <alignment horizontal="right" vertical="center"/>
    </xf>
    <xf numFmtId="38" fontId="6" fillId="0" borderId="31" xfId="2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38" fontId="6" fillId="0" borderId="33" xfId="2" applyFont="1" applyBorder="1" applyAlignment="1">
      <alignment horizontal="right" vertical="center"/>
    </xf>
    <xf numFmtId="38" fontId="3" fillId="0" borderId="0" xfId="2" applyFont="1" applyBorder="1" applyAlignment="1">
      <alignment horizontal="right" vertical="center"/>
    </xf>
    <xf numFmtId="10" fontId="6" fillId="0" borderId="28" xfId="0" applyNumberFormat="1" applyFont="1" applyBorder="1" applyAlignment="1">
      <alignment horizontal="right" vertical="center"/>
    </xf>
    <xf numFmtId="38" fontId="6" fillId="0" borderId="24" xfId="2" applyFont="1" applyBorder="1" applyAlignment="1">
      <alignment horizontal="right" vertical="center"/>
    </xf>
    <xf numFmtId="38" fontId="6" fillId="0" borderId="25" xfId="2" applyFont="1" applyBorder="1" applyAlignment="1">
      <alignment horizontal="right" vertical="center"/>
    </xf>
    <xf numFmtId="38" fontId="6" fillId="0" borderId="26" xfId="2" applyFont="1" applyBorder="1" applyAlignment="1">
      <alignment horizontal="right" vertical="center"/>
    </xf>
    <xf numFmtId="38" fontId="6" fillId="0" borderId="29" xfId="2" applyFont="1" applyBorder="1" applyAlignment="1">
      <alignment horizontal="right" vertical="center"/>
    </xf>
    <xf numFmtId="10" fontId="6" fillId="0" borderId="34" xfId="0" applyNumberFormat="1" applyFont="1" applyBorder="1" applyAlignment="1">
      <alignment horizontal="right" vertical="center"/>
    </xf>
    <xf numFmtId="38" fontId="6" fillId="0" borderId="35" xfId="2" applyFont="1" applyBorder="1" applyAlignment="1">
      <alignment horizontal="right" vertical="center"/>
    </xf>
    <xf numFmtId="0" fontId="11" fillId="0" borderId="11" xfId="0" applyFont="1" applyFill="1" applyBorder="1" applyAlignment="1">
      <alignment horizontal="center" vertical="center" wrapText="1"/>
    </xf>
    <xf numFmtId="178" fontId="11" fillId="0" borderId="41" xfId="0" applyNumberFormat="1" applyFont="1" applyBorder="1" applyAlignment="1">
      <alignment horizontal="right" vertical="center"/>
    </xf>
    <xf numFmtId="38" fontId="11" fillId="0" borderId="42" xfId="2" applyFont="1" applyBorder="1" applyAlignment="1">
      <alignment horizontal="right" vertical="center"/>
    </xf>
    <xf numFmtId="38" fontId="11" fillId="0" borderId="43" xfId="2" applyFont="1" applyBorder="1" applyAlignment="1">
      <alignment horizontal="right" vertical="center"/>
    </xf>
    <xf numFmtId="38" fontId="11" fillId="0" borderId="44" xfId="2" applyFont="1" applyBorder="1" applyAlignment="1">
      <alignment horizontal="right" vertical="center"/>
    </xf>
    <xf numFmtId="0" fontId="11" fillId="0" borderId="41" xfId="0" applyFont="1" applyBorder="1" applyAlignment="1">
      <alignment horizontal="right" vertical="center"/>
    </xf>
    <xf numFmtId="179" fontId="11" fillId="0" borderId="41" xfId="0" applyNumberFormat="1" applyFont="1" applyBorder="1" applyAlignment="1">
      <alignment horizontal="right" vertical="center"/>
    </xf>
    <xf numFmtId="38" fontId="11" fillId="0" borderId="45" xfId="2" applyFont="1" applyBorder="1" applyAlignment="1">
      <alignment horizontal="right" vertical="center"/>
    </xf>
    <xf numFmtId="0" fontId="11" fillId="0" borderId="46" xfId="0" applyFont="1" applyBorder="1" applyAlignment="1">
      <alignment horizontal="right" vertical="center"/>
    </xf>
    <xf numFmtId="38" fontId="11" fillId="0" borderId="47" xfId="2" applyFont="1" applyBorder="1" applyAlignment="1">
      <alignment horizontal="right" vertical="center"/>
    </xf>
    <xf numFmtId="49" fontId="3" fillId="0" borderId="0" xfId="2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 wrapText="1"/>
    </xf>
    <xf numFmtId="10" fontId="11" fillId="0" borderId="41" xfId="0" applyNumberFormat="1" applyFont="1" applyBorder="1" applyAlignment="1">
      <alignment horizontal="right" vertical="center"/>
    </xf>
    <xf numFmtId="10" fontId="11" fillId="0" borderId="46" xfId="0" applyNumberFormat="1" applyFont="1" applyBorder="1" applyAlignment="1">
      <alignment horizontal="right" vertical="center"/>
    </xf>
    <xf numFmtId="0" fontId="6" fillId="2" borderId="30" xfId="0" applyFont="1" applyFill="1" applyBorder="1" applyAlignment="1">
      <alignment horizontal="right" vertical="center"/>
    </xf>
    <xf numFmtId="38" fontId="6" fillId="2" borderId="13" xfId="2" applyFont="1" applyFill="1" applyBorder="1" applyAlignment="1">
      <alignment horizontal="right" vertical="center"/>
    </xf>
    <xf numFmtId="38" fontId="6" fillId="2" borderId="33" xfId="2" applyFont="1" applyFill="1" applyBorder="1" applyAlignment="1">
      <alignment horizontal="right" vertical="center"/>
    </xf>
    <xf numFmtId="38" fontId="6" fillId="2" borderId="53" xfId="2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38" fontId="6" fillId="2" borderId="54" xfId="2" applyFont="1" applyFill="1" applyBorder="1" applyAlignment="1">
      <alignment horizontal="right" vertical="center"/>
    </xf>
    <xf numFmtId="38" fontId="6" fillId="2" borderId="15" xfId="2" applyFont="1" applyFill="1" applyBorder="1" applyAlignment="1">
      <alignment horizontal="right" vertical="center"/>
    </xf>
    <xf numFmtId="181" fontId="6" fillId="2" borderId="30" xfId="2" applyNumberFormat="1" applyFont="1" applyFill="1" applyBorder="1" applyAlignment="1">
      <alignment horizontal="right" vertical="center"/>
    </xf>
    <xf numFmtId="181" fontId="6" fillId="2" borderId="14" xfId="2" applyNumberFormat="1" applyFont="1" applyFill="1" applyBorder="1" applyAlignment="1">
      <alignment horizontal="right" vertical="center"/>
    </xf>
    <xf numFmtId="181" fontId="6" fillId="2" borderId="12" xfId="2" applyNumberFormat="1" applyFont="1" applyFill="1" applyBorder="1" applyAlignment="1">
      <alignment horizontal="right" vertical="center"/>
    </xf>
    <xf numFmtId="181" fontId="6" fillId="2" borderId="15" xfId="2" applyNumberFormat="1" applyFont="1" applyFill="1" applyBorder="1" applyAlignment="1">
      <alignment horizontal="right" vertical="center"/>
    </xf>
    <xf numFmtId="10" fontId="6" fillId="2" borderId="56" xfId="0" applyNumberFormat="1" applyFont="1" applyFill="1" applyBorder="1" applyAlignment="1">
      <alignment horizontal="right" vertical="center"/>
    </xf>
    <xf numFmtId="38" fontId="6" fillId="2" borderId="57" xfId="2" applyFont="1" applyFill="1" applyBorder="1" applyAlignment="1">
      <alignment horizontal="right" vertical="center"/>
    </xf>
    <xf numFmtId="38" fontId="6" fillId="2" borderId="58" xfId="2" applyFont="1" applyFill="1" applyBorder="1" applyAlignment="1">
      <alignment horizontal="right" vertical="center"/>
    </xf>
    <xf numFmtId="38" fontId="6" fillId="2" borderId="59" xfId="2" applyFont="1" applyFill="1" applyBorder="1" applyAlignment="1">
      <alignment horizontal="right" vertical="center"/>
    </xf>
    <xf numFmtId="38" fontId="6" fillId="2" borderId="60" xfId="2" applyFont="1" applyFill="1" applyBorder="1" applyAlignment="1">
      <alignment horizontal="right" vertical="center"/>
    </xf>
    <xf numFmtId="10" fontId="6" fillId="2" borderId="61" xfId="0" applyNumberFormat="1" applyFont="1" applyFill="1" applyBorder="1" applyAlignment="1">
      <alignment horizontal="right" vertical="center"/>
    </xf>
    <xf numFmtId="38" fontId="6" fillId="2" borderId="62" xfId="2" applyFont="1" applyFill="1" applyBorder="1" applyAlignment="1">
      <alignment horizontal="right" vertical="center"/>
    </xf>
    <xf numFmtId="38" fontId="11" fillId="2" borderId="59" xfId="2" applyFont="1" applyFill="1" applyBorder="1" applyAlignment="1">
      <alignment horizontal="right" vertical="center"/>
    </xf>
    <xf numFmtId="182" fontId="6" fillId="2" borderId="56" xfId="2" applyNumberFormat="1" applyFont="1" applyFill="1" applyBorder="1" applyAlignment="1">
      <alignment vertical="center"/>
    </xf>
    <xf numFmtId="10" fontId="6" fillId="2" borderId="58" xfId="0" applyNumberFormat="1" applyFont="1" applyFill="1" applyBorder="1" applyAlignment="1">
      <alignment vertical="center"/>
    </xf>
    <xf numFmtId="10" fontId="6" fillId="2" borderId="61" xfId="0" applyNumberFormat="1" applyFont="1" applyFill="1" applyBorder="1" applyAlignment="1">
      <alignment vertical="center"/>
    </xf>
    <xf numFmtId="182" fontId="6" fillId="2" borderId="63" xfId="2" applyNumberFormat="1" applyFont="1" applyFill="1" applyBorder="1" applyAlignment="1">
      <alignment vertical="center"/>
    </xf>
    <xf numFmtId="10" fontId="6" fillId="2" borderId="63" xfId="0" applyNumberFormat="1" applyFont="1" applyFill="1" applyBorder="1" applyAlignment="1">
      <alignment vertical="center"/>
    </xf>
    <xf numFmtId="38" fontId="6" fillId="2" borderId="63" xfId="2" applyFont="1" applyFill="1" applyBorder="1" applyAlignment="1">
      <alignment vertical="center"/>
    </xf>
    <xf numFmtId="38" fontId="6" fillId="2" borderId="58" xfId="2" applyFont="1" applyFill="1" applyBorder="1" applyAlignment="1">
      <alignment vertical="center"/>
    </xf>
    <xf numFmtId="38" fontId="6" fillId="2" borderId="59" xfId="2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right" vertical="center"/>
    </xf>
    <xf numFmtId="38" fontId="12" fillId="0" borderId="0" xfId="2" applyFont="1" applyFill="1" applyBorder="1" applyAlignment="1">
      <alignment horizontal="right" vertical="center"/>
    </xf>
    <xf numFmtId="182" fontId="3" fillId="0" borderId="0" xfId="2" applyNumberFormat="1" applyFont="1" applyFill="1" applyBorder="1" applyAlignment="1">
      <alignment vertical="center"/>
    </xf>
    <xf numFmtId="10" fontId="3" fillId="0" borderId="12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right" vertical="center"/>
    </xf>
    <xf numFmtId="38" fontId="3" fillId="0" borderId="14" xfId="2" applyFont="1" applyFill="1" applyBorder="1" applyAlignment="1">
      <alignment horizontal="right" vertical="center"/>
    </xf>
    <xf numFmtId="38" fontId="3" fillId="0" borderId="33" xfId="2" applyFont="1" applyFill="1" applyBorder="1" applyAlignment="1">
      <alignment horizontal="right" vertical="center"/>
    </xf>
    <xf numFmtId="38" fontId="3" fillId="0" borderId="31" xfId="2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182" fontId="4" fillId="0" borderId="0" xfId="2" applyNumberFormat="1" applyFont="1" applyFill="1" applyBorder="1" applyAlignment="1">
      <alignment horizontal="right" vertical="center"/>
    </xf>
    <xf numFmtId="10" fontId="3" fillId="0" borderId="28" xfId="0" applyNumberFormat="1" applyFont="1" applyFill="1" applyBorder="1" applyAlignment="1">
      <alignment horizontal="right" vertical="center"/>
    </xf>
    <xf numFmtId="38" fontId="3" fillId="0" borderId="24" xfId="2" applyFont="1" applyFill="1" applyBorder="1" applyAlignment="1">
      <alignment horizontal="right" vertical="center"/>
    </xf>
    <xf numFmtId="38" fontId="3" fillId="0" borderId="25" xfId="2" applyFont="1" applyFill="1" applyBorder="1" applyAlignment="1">
      <alignment horizontal="right" vertical="center"/>
    </xf>
    <xf numFmtId="38" fontId="3" fillId="0" borderId="26" xfId="2" applyFont="1" applyFill="1" applyBorder="1" applyAlignment="1">
      <alignment horizontal="right" vertical="center"/>
    </xf>
    <xf numFmtId="38" fontId="3" fillId="0" borderId="29" xfId="2" applyFont="1" applyFill="1" applyBorder="1" applyAlignment="1">
      <alignment horizontal="right" vertical="center"/>
    </xf>
    <xf numFmtId="10" fontId="3" fillId="0" borderId="34" xfId="0" applyNumberFormat="1" applyFont="1" applyFill="1" applyBorder="1" applyAlignment="1">
      <alignment horizontal="right" vertical="center"/>
    </xf>
    <xf numFmtId="10" fontId="4" fillId="0" borderId="0" xfId="0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3" fillId="0" borderId="64" xfId="0" applyFont="1" applyBorder="1">
      <alignment vertical="center"/>
    </xf>
    <xf numFmtId="0" fontId="15" fillId="0" borderId="64" xfId="0" applyFont="1" applyFill="1" applyBorder="1">
      <alignment vertical="center"/>
    </xf>
    <xf numFmtId="183" fontId="15" fillId="0" borderId="64" xfId="0" applyNumberFormat="1" applyFont="1" applyFill="1" applyBorder="1">
      <alignment vertical="center"/>
    </xf>
    <xf numFmtId="183" fontId="15" fillId="0" borderId="65" xfId="0" applyNumberFormat="1" applyFont="1" applyFill="1" applyBorder="1">
      <alignment vertical="center"/>
    </xf>
    <xf numFmtId="0" fontId="16" fillId="0" borderId="66" xfId="0" applyFont="1" applyBorder="1">
      <alignment vertical="center"/>
    </xf>
    <xf numFmtId="183" fontId="16" fillId="0" borderId="64" xfId="0" applyNumberFormat="1" applyFont="1" applyBorder="1">
      <alignment vertical="center"/>
    </xf>
    <xf numFmtId="177" fontId="16" fillId="0" borderId="64" xfId="3" applyNumberFormat="1" applyFont="1" applyBorder="1" applyAlignment="1">
      <alignment vertical="center"/>
    </xf>
    <xf numFmtId="183" fontId="16" fillId="0" borderId="65" xfId="0" applyNumberFormat="1" applyFont="1" applyBorder="1">
      <alignment vertical="center"/>
    </xf>
    <xf numFmtId="177" fontId="3" fillId="0" borderId="67" xfId="3" applyNumberFormat="1" applyFont="1" applyBorder="1" applyAlignment="1">
      <alignment vertical="center"/>
    </xf>
    <xf numFmtId="183" fontId="3" fillId="0" borderId="64" xfId="0" applyNumberFormat="1" applyFont="1" applyBorder="1">
      <alignment vertical="center"/>
    </xf>
    <xf numFmtId="177" fontId="3" fillId="0" borderId="64" xfId="3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77" fontId="3" fillId="0" borderId="68" xfId="0" applyNumberFormat="1" applyFont="1" applyBorder="1">
      <alignment vertical="center"/>
    </xf>
    <xf numFmtId="183" fontId="3" fillId="0" borderId="69" xfId="0" applyNumberFormat="1" applyFont="1" applyBorder="1">
      <alignment vertical="center"/>
    </xf>
    <xf numFmtId="184" fontId="16" fillId="0" borderId="66" xfId="0" applyNumberFormat="1" applyFont="1" applyBorder="1">
      <alignment vertical="center"/>
    </xf>
    <xf numFmtId="177" fontId="3" fillId="0" borderId="70" xfId="3" applyNumberFormat="1" applyFont="1" applyBorder="1" applyAlignment="1">
      <alignment vertical="center"/>
    </xf>
    <xf numFmtId="183" fontId="3" fillId="0" borderId="70" xfId="0" applyNumberFormat="1" applyFont="1" applyBorder="1">
      <alignment vertical="center"/>
    </xf>
    <xf numFmtId="177" fontId="3" fillId="0" borderId="71" xfId="0" applyNumberFormat="1" applyFont="1" applyBorder="1">
      <alignment vertical="center"/>
    </xf>
    <xf numFmtId="183" fontId="3" fillId="0" borderId="6" xfId="0" applyNumberFormat="1" applyFont="1" applyBorder="1">
      <alignment vertical="center"/>
    </xf>
    <xf numFmtId="0" fontId="3" fillId="0" borderId="68" xfId="0" applyFont="1" applyBorder="1" applyAlignment="1">
      <alignment horizontal="right" vertical="center"/>
    </xf>
    <xf numFmtId="0" fontId="3" fillId="0" borderId="72" xfId="0" applyFont="1" applyBorder="1" applyAlignment="1">
      <alignment horizontal="right" vertical="center"/>
    </xf>
    <xf numFmtId="0" fontId="3" fillId="0" borderId="69" xfId="0" applyFont="1" applyBorder="1" applyAlignment="1">
      <alignment horizontal="right" vertical="center"/>
    </xf>
    <xf numFmtId="38" fontId="3" fillId="0" borderId="1" xfId="2" applyFont="1" applyBorder="1">
      <alignment vertical="center"/>
    </xf>
    <xf numFmtId="38" fontId="3" fillId="0" borderId="0" xfId="2" applyFont="1">
      <alignment vertical="center"/>
    </xf>
    <xf numFmtId="38" fontId="3" fillId="0" borderId="66" xfId="2" applyFont="1" applyBorder="1">
      <alignment vertical="center"/>
    </xf>
    <xf numFmtId="38" fontId="17" fillId="0" borderId="64" xfId="2" applyFont="1" applyBorder="1">
      <alignment vertical="center"/>
    </xf>
    <xf numFmtId="38" fontId="17" fillId="0" borderId="65" xfId="2" applyFont="1" applyBorder="1">
      <alignment vertical="center"/>
    </xf>
    <xf numFmtId="38" fontId="3" fillId="0" borderId="73" xfId="2" applyFont="1" applyBorder="1">
      <alignment vertical="center"/>
    </xf>
    <xf numFmtId="38" fontId="3" fillId="0" borderId="71" xfId="2" applyFont="1" applyBorder="1">
      <alignment vertical="center"/>
    </xf>
    <xf numFmtId="38" fontId="17" fillId="0" borderId="8" xfId="2" applyFont="1" applyBorder="1">
      <alignment vertical="center"/>
    </xf>
    <xf numFmtId="38" fontId="17" fillId="0" borderId="6" xfId="2" applyFont="1" applyBorder="1">
      <alignment vertical="center"/>
    </xf>
    <xf numFmtId="0" fontId="17" fillId="0" borderId="0" xfId="0" applyFont="1">
      <alignment vertical="center"/>
    </xf>
    <xf numFmtId="38" fontId="6" fillId="2" borderId="61" xfId="2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20" fillId="0" borderId="64" xfId="0" applyFont="1" applyFill="1" applyBorder="1">
      <alignment vertical="center"/>
    </xf>
    <xf numFmtId="183" fontId="20" fillId="0" borderId="85" xfId="0" applyNumberFormat="1" applyFont="1" applyFill="1" applyBorder="1">
      <alignment vertical="center"/>
    </xf>
    <xf numFmtId="0" fontId="20" fillId="0" borderId="66" xfId="0" applyFont="1" applyFill="1" applyBorder="1">
      <alignment vertical="center"/>
    </xf>
    <xf numFmtId="183" fontId="20" fillId="0" borderId="65" xfId="0" applyNumberFormat="1" applyFont="1" applyFill="1" applyBorder="1">
      <alignment vertical="center"/>
    </xf>
    <xf numFmtId="177" fontId="20" fillId="0" borderId="67" xfId="3" applyNumberFormat="1" applyFont="1" applyBorder="1" applyAlignment="1">
      <alignment vertical="center"/>
    </xf>
    <xf numFmtId="183" fontId="3" fillId="0" borderId="85" xfId="0" applyNumberFormat="1" applyFont="1" applyBorder="1">
      <alignment vertical="center"/>
    </xf>
    <xf numFmtId="177" fontId="3" fillId="0" borderId="66" xfId="3" applyNumberFormat="1" applyFont="1" applyBorder="1" applyAlignment="1">
      <alignment vertical="center"/>
    </xf>
    <xf numFmtId="183" fontId="3" fillId="0" borderId="65" xfId="0" applyNumberFormat="1" applyFont="1" applyBorder="1">
      <alignment vertical="center"/>
    </xf>
    <xf numFmtId="38" fontId="20" fillId="0" borderId="64" xfId="2" applyFont="1" applyBorder="1">
      <alignment vertical="center"/>
    </xf>
    <xf numFmtId="38" fontId="17" fillId="0" borderId="66" xfId="2" applyFont="1" applyBorder="1">
      <alignment vertical="center"/>
    </xf>
    <xf numFmtId="38" fontId="20" fillId="0" borderId="8" xfId="2" applyFont="1" applyBorder="1">
      <alignment vertical="center"/>
    </xf>
    <xf numFmtId="38" fontId="20" fillId="0" borderId="6" xfId="2" applyFont="1" applyBorder="1">
      <alignment vertical="center"/>
    </xf>
    <xf numFmtId="38" fontId="17" fillId="0" borderId="71" xfId="2" applyFont="1" applyBorder="1">
      <alignment vertical="center"/>
    </xf>
    <xf numFmtId="0" fontId="2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181" fontId="6" fillId="0" borderId="30" xfId="2" applyNumberFormat="1" applyFont="1" applyFill="1" applyBorder="1" applyAlignment="1">
      <alignment horizontal="right" vertical="center"/>
    </xf>
    <xf numFmtId="181" fontId="6" fillId="0" borderId="43" xfId="2" applyNumberFormat="1" applyFont="1" applyFill="1" applyBorder="1" applyAlignment="1">
      <alignment horizontal="right" vertical="center"/>
    </xf>
    <xf numFmtId="181" fontId="6" fillId="0" borderId="0" xfId="2" applyNumberFormat="1" applyFont="1" applyFill="1" applyBorder="1" applyAlignment="1">
      <alignment horizontal="right" vertical="center"/>
    </xf>
    <xf numFmtId="181" fontId="6" fillId="0" borderId="44" xfId="2" applyNumberFormat="1" applyFont="1" applyFill="1" applyBorder="1" applyAlignment="1">
      <alignment horizontal="right" vertical="center"/>
    </xf>
    <xf numFmtId="182" fontId="6" fillId="0" borderId="56" xfId="2" applyNumberFormat="1" applyFont="1" applyFill="1" applyBorder="1" applyAlignment="1">
      <alignment vertical="center"/>
    </xf>
    <xf numFmtId="10" fontId="6" fillId="0" borderId="58" xfId="0" applyNumberFormat="1" applyFont="1" applyFill="1" applyBorder="1" applyAlignment="1">
      <alignment vertical="center"/>
    </xf>
    <xf numFmtId="10" fontId="6" fillId="0" borderId="61" xfId="0" applyNumberFormat="1" applyFont="1" applyFill="1" applyBorder="1" applyAlignment="1">
      <alignment vertical="center"/>
    </xf>
    <xf numFmtId="182" fontId="6" fillId="0" borderId="63" xfId="2" applyNumberFormat="1" applyFont="1" applyFill="1" applyBorder="1" applyAlignment="1">
      <alignment vertical="center"/>
    </xf>
    <xf numFmtId="10" fontId="6" fillId="0" borderId="63" xfId="0" applyNumberFormat="1" applyFont="1" applyFill="1" applyBorder="1" applyAlignment="1">
      <alignment vertical="center"/>
    </xf>
    <xf numFmtId="38" fontId="6" fillId="0" borderId="63" xfId="2" applyFont="1" applyFill="1" applyBorder="1" applyAlignment="1">
      <alignment vertical="center"/>
    </xf>
    <xf numFmtId="38" fontId="6" fillId="0" borderId="58" xfId="2" applyFont="1" applyFill="1" applyBorder="1" applyAlignment="1">
      <alignment vertical="center"/>
    </xf>
    <xf numFmtId="38" fontId="6" fillId="0" borderId="61" xfId="2" applyFont="1" applyFill="1" applyBorder="1" applyAlignment="1">
      <alignment vertical="center"/>
    </xf>
    <xf numFmtId="38" fontId="6" fillId="0" borderId="59" xfId="2" applyFont="1" applyFill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177" fontId="3" fillId="0" borderId="0" xfId="0" applyNumberFormat="1" applyFont="1" applyBorder="1">
      <alignment vertical="center"/>
    </xf>
    <xf numFmtId="183" fontId="3" fillId="0" borderId="0" xfId="0" applyNumberFormat="1" applyFont="1" applyBorder="1">
      <alignment vertical="center"/>
    </xf>
    <xf numFmtId="38" fontId="3" fillId="0" borderId="86" xfId="2" applyFont="1" applyBorder="1">
      <alignment vertical="center"/>
    </xf>
    <xf numFmtId="38" fontId="3" fillId="0" borderId="64" xfId="2" applyFont="1" applyBorder="1">
      <alignment vertical="center"/>
    </xf>
    <xf numFmtId="38" fontId="3" fillId="0" borderId="87" xfId="2" applyFont="1" applyBorder="1">
      <alignment vertical="center"/>
    </xf>
    <xf numFmtId="0" fontId="6" fillId="0" borderId="88" xfId="0" applyFont="1" applyFill="1" applyBorder="1" applyAlignment="1">
      <alignment horizontal="center" vertical="center"/>
    </xf>
    <xf numFmtId="0" fontId="6" fillId="0" borderId="92" xfId="0" applyFont="1" applyBorder="1" applyAlignment="1">
      <alignment vertical="center" wrapText="1"/>
    </xf>
    <xf numFmtId="0" fontId="6" fillId="0" borderId="89" xfId="0" applyFont="1" applyBorder="1" applyAlignment="1">
      <alignment vertical="center" wrapText="1"/>
    </xf>
    <xf numFmtId="181" fontId="24" fillId="0" borderId="41" xfId="2" applyNumberFormat="1" applyFont="1" applyFill="1" applyBorder="1" applyAlignment="1">
      <alignment horizontal="right" vertical="center"/>
    </xf>
    <xf numFmtId="181" fontId="24" fillId="0" borderId="43" xfId="2" applyNumberFormat="1" applyFont="1" applyFill="1" applyBorder="1" applyAlignment="1">
      <alignment horizontal="right" vertical="center"/>
    </xf>
    <xf numFmtId="181" fontId="24" fillId="0" borderId="0" xfId="2" applyNumberFormat="1" applyFont="1" applyFill="1" applyBorder="1" applyAlignment="1">
      <alignment horizontal="right" vertical="center"/>
    </xf>
    <xf numFmtId="181" fontId="24" fillId="0" borderId="44" xfId="2" applyNumberFormat="1" applyFont="1" applyFill="1" applyBorder="1" applyAlignment="1">
      <alignment horizontal="right" vertical="center"/>
    </xf>
    <xf numFmtId="182" fontId="8" fillId="0" borderId="100" xfId="2" applyNumberFormat="1" applyFont="1" applyFill="1" applyBorder="1" applyAlignment="1">
      <alignment vertical="center"/>
    </xf>
    <xf numFmtId="10" fontId="8" fillId="0" borderId="101" xfId="0" applyNumberFormat="1" applyFont="1" applyFill="1" applyBorder="1" applyAlignment="1">
      <alignment vertical="center"/>
    </xf>
    <xf numFmtId="10" fontId="8" fillId="0" borderId="102" xfId="0" applyNumberFormat="1" applyFont="1" applyFill="1" applyBorder="1" applyAlignment="1">
      <alignment vertical="center"/>
    </xf>
    <xf numFmtId="182" fontId="8" fillId="0" borderId="103" xfId="2" applyNumberFormat="1" applyFont="1" applyFill="1" applyBorder="1" applyAlignment="1">
      <alignment vertical="center"/>
    </xf>
    <xf numFmtId="10" fontId="8" fillId="0" borderId="103" xfId="0" applyNumberFormat="1" applyFont="1" applyFill="1" applyBorder="1" applyAlignment="1">
      <alignment vertical="center"/>
    </xf>
    <xf numFmtId="38" fontId="8" fillId="0" borderId="103" xfId="2" applyFont="1" applyFill="1" applyBorder="1" applyAlignment="1">
      <alignment vertical="center"/>
    </xf>
    <xf numFmtId="38" fontId="8" fillId="0" borderId="101" xfId="2" applyFont="1" applyFill="1" applyBorder="1" applyAlignment="1">
      <alignment vertical="center"/>
    </xf>
    <xf numFmtId="38" fontId="8" fillId="0" borderId="102" xfId="2" applyFont="1" applyFill="1" applyBorder="1" applyAlignment="1">
      <alignment vertical="center"/>
    </xf>
    <xf numFmtId="38" fontId="8" fillId="0" borderId="104" xfId="2" applyFont="1" applyFill="1" applyBorder="1" applyAlignment="1">
      <alignment vertical="center"/>
    </xf>
    <xf numFmtId="10" fontId="4" fillId="0" borderId="105" xfId="0" applyNumberFormat="1" applyFont="1" applyFill="1" applyBorder="1" applyAlignment="1">
      <alignment horizontal="right" vertical="center"/>
    </xf>
    <xf numFmtId="38" fontId="4" fillId="0" borderId="105" xfId="2" applyFont="1" applyFill="1" applyBorder="1" applyAlignment="1">
      <alignment horizontal="right" vertical="center"/>
    </xf>
    <xf numFmtId="0" fontId="4" fillId="0" borderId="105" xfId="0" applyFont="1" applyBorder="1">
      <alignment vertical="center"/>
    </xf>
    <xf numFmtId="0" fontId="23" fillId="0" borderId="6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20" fillId="0" borderId="0" xfId="0" applyFont="1">
      <alignment vertical="center"/>
    </xf>
    <xf numFmtId="38" fontId="20" fillId="0" borderId="0" xfId="2" applyFont="1">
      <alignment vertical="center"/>
    </xf>
    <xf numFmtId="0" fontId="3" fillId="0" borderId="64" xfId="0" applyFont="1" applyBorder="1" applyAlignment="1">
      <alignment horizontal="center" vertical="center"/>
    </xf>
    <xf numFmtId="0" fontId="17" fillId="0" borderId="64" xfId="0" applyFont="1" applyBorder="1">
      <alignment vertical="center"/>
    </xf>
    <xf numFmtId="38" fontId="17" fillId="0" borderId="0" xfId="2" applyFont="1">
      <alignment vertical="center"/>
    </xf>
    <xf numFmtId="183" fontId="3" fillId="0" borderId="0" xfId="0" applyNumberFormat="1" applyFont="1" applyBorder="1" applyAlignment="1">
      <alignment horizontal="center" vertical="center"/>
    </xf>
    <xf numFmtId="38" fontId="3" fillId="0" borderId="1" xfId="2" applyFont="1" applyBorder="1" applyAlignment="1">
      <alignment horizontal="center" vertical="center"/>
    </xf>
    <xf numFmtId="38" fontId="3" fillId="0" borderId="73" xfId="2" applyFont="1" applyBorder="1" applyAlignment="1">
      <alignment horizontal="center" vertical="center"/>
    </xf>
    <xf numFmtId="181" fontId="24" fillId="0" borderId="108" xfId="2" applyNumberFormat="1" applyFont="1" applyFill="1" applyBorder="1" applyAlignment="1">
      <alignment horizontal="right" vertical="center"/>
    </xf>
    <xf numFmtId="181" fontId="24" fillId="0" borderId="119" xfId="2" applyNumberFormat="1" applyFont="1" applyFill="1" applyBorder="1" applyAlignment="1">
      <alignment horizontal="right" vertical="center"/>
    </xf>
    <xf numFmtId="182" fontId="8" fillId="0" borderId="120" xfId="2" applyNumberFormat="1" applyFont="1" applyFill="1" applyBorder="1" applyAlignment="1">
      <alignment vertical="center"/>
    </xf>
    <xf numFmtId="10" fontId="8" fillId="0" borderId="121" xfId="0" applyNumberFormat="1" applyFont="1" applyFill="1" applyBorder="1" applyAlignment="1">
      <alignment vertical="center"/>
    </xf>
    <xf numFmtId="38" fontId="8" fillId="0" borderId="120" xfId="2" applyFont="1" applyFill="1" applyBorder="1" applyAlignment="1">
      <alignment vertical="center"/>
    </xf>
    <xf numFmtId="38" fontId="8" fillId="0" borderId="121" xfId="2" applyFont="1" applyFill="1" applyBorder="1" applyAlignment="1">
      <alignment vertical="center"/>
    </xf>
    <xf numFmtId="185" fontId="25" fillId="0" borderId="41" xfId="2" applyNumberFormat="1" applyFont="1" applyFill="1" applyBorder="1" applyAlignment="1">
      <alignment horizontal="center" vertical="center"/>
    </xf>
    <xf numFmtId="0" fontId="3" fillId="0" borderId="77" xfId="0" applyFont="1" applyBorder="1">
      <alignment vertical="center"/>
    </xf>
    <xf numFmtId="0" fontId="3" fillId="0" borderId="70" xfId="0" applyFont="1" applyBorder="1">
      <alignment vertical="center"/>
    </xf>
    <xf numFmtId="0" fontId="30" fillId="0" borderId="64" xfId="0" applyFont="1" applyBorder="1" applyAlignment="1">
      <alignment horizontal="center" vertical="center"/>
    </xf>
    <xf numFmtId="0" fontId="30" fillId="0" borderId="64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64" xfId="0" applyBorder="1">
      <alignment vertical="center"/>
    </xf>
    <xf numFmtId="0" fontId="5" fillId="0" borderId="0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77" fontId="6" fillId="0" borderId="31" xfId="4" applyNumberFormat="1" applyFont="1" applyBorder="1" applyAlignment="1">
      <alignment horizontal="right" vertical="center"/>
    </xf>
    <xf numFmtId="177" fontId="6" fillId="0" borderId="39" xfId="4" applyNumberFormat="1" applyFont="1" applyBorder="1" applyAlignment="1">
      <alignment horizontal="right" vertical="center"/>
    </xf>
    <xf numFmtId="177" fontId="11" fillId="0" borderId="51" xfId="4" applyNumberFormat="1" applyFont="1" applyBorder="1" applyAlignment="1">
      <alignment horizontal="right" vertical="center"/>
    </xf>
    <xf numFmtId="177" fontId="11" fillId="0" borderId="29" xfId="4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49" fontId="6" fillId="0" borderId="15" xfId="4" applyNumberFormat="1" applyFont="1" applyBorder="1" applyAlignment="1">
      <alignment horizontal="right" vertical="center"/>
    </xf>
    <xf numFmtId="49" fontId="6" fillId="0" borderId="40" xfId="4" applyNumberFormat="1" applyFont="1" applyBorder="1" applyAlignment="1">
      <alignment horizontal="right" vertical="center"/>
    </xf>
    <xf numFmtId="49" fontId="11" fillId="0" borderId="52" xfId="4" applyNumberFormat="1" applyFont="1" applyBorder="1" applyAlignment="1">
      <alignment horizontal="right" vertical="center"/>
    </xf>
    <xf numFmtId="49" fontId="11" fillId="0" borderId="26" xfId="4" applyNumberFormat="1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49" fontId="6" fillId="0" borderId="14" xfId="4" applyNumberFormat="1" applyFont="1" applyBorder="1" applyAlignment="1">
      <alignment horizontal="right" vertical="center"/>
    </xf>
    <xf numFmtId="49" fontId="6" fillId="0" borderId="38" xfId="4" applyNumberFormat="1" applyFont="1" applyBorder="1" applyAlignment="1">
      <alignment horizontal="right" vertical="center"/>
    </xf>
    <xf numFmtId="180" fontId="11" fillId="0" borderId="50" xfId="4" applyNumberFormat="1" applyFont="1" applyBorder="1" applyAlignment="1">
      <alignment horizontal="right" vertical="center"/>
    </xf>
    <xf numFmtId="180" fontId="11" fillId="0" borderId="25" xfId="4" applyNumberFormat="1" applyFont="1" applyBorder="1" applyAlignment="1">
      <alignment horizontal="right" vertical="center"/>
    </xf>
    <xf numFmtId="49" fontId="11" fillId="0" borderId="50" xfId="4" applyNumberFormat="1" applyFont="1" applyBorder="1" applyAlignment="1">
      <alignment horizontal="right" vertical="center"/>
    </xf>
    <xf numFmtId="49" fontId="11" fillId="0" borderId="25" xfId="4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77" fontId="6" fillId="0" borderId="30" xfId="3" applyNumberFormat="1" applyFont="1" applyBorder="1" applyAlignment="1">
      <alignment horizontal="right" vertical="center"/>
    </xf>
    <xf numFmtId="177" fontId="6" fillId="0" borderId="37" xfId="3" applyNumberFormat="1" applyFont="1" applyBorder="1" applyAlignment="1">
      <alignment horizontal="right" vertical="center"/>
    </xf>
    <xf numFmtId="177" fontId="11" fillId="0" borderId="49" xfId="3" applyNumberFormat="1" applyFont="1" applyBorder="1" applyAlignment="1">
      <alignment horizontal="right" vertical="center"/>
    </xf>
    <xf numFmtId="177" fontId="11" fillId="0" borderId="28" xfId="3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49" fontId="11" fillId="0" borderId="48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185" fontId="19" fillId="0" borderId="11" xfId="2" applyNumberFormat="1" applyFont="1" applyBorder="1" applyAlignment="1">
      <alignment horizontal="center" vertical="center"/>
    </xf>
    <xf numFmtId="185" fontId="19" fillId="0" borderId="80" xfId="2" applyNumberFormat="1" applyFont="1" applyBorder="1" applyAlignment="1">
      <alignment horizontal="center" vertical="center"/>
    </xf>
    <xf numFmtId="185" fontId="18" fillId="0" borderId="11" xfId="2" applyNumberFormat="1" applyFont="1" applyBorder="1" applyAlignment="1">
      <alignment horizontal="center" vertical="center"/>
    </xf>
    <xf numFmtId="185" fontId="18" fillId="0" borderId="22" xfId="2" applyNumberFormat="1" applyFont="1" applyBorder="1" applyAlignment="1">
      <alignment horizontal="center" vertical="center"/>
    </xf>
    <xf numFmtId="185" fontId="19" fillId="0" borderId="15" xfId="2" applyNumberFormat="1" applyFont="1" applyFill="1" applyBorder="1" applyAlignment="1">
      <alignment horizontal="center" vertical="center"/>
    </xf>
    <xf numFmtId="185" fontId="19" fillId="0" borderId="59" xfId="2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18" fillId="0" borderId="74" xfId="0" applyFont="1" applyBorder="1" applyAlignment="1">
      <alignment horizontal="center" vertical="center"/>
    </xf>
    <xf numFmtId="0" fontId="18" fillId="0" borderId="76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185" fontId="18" fillId="0" borderId="70" xfId="2" applyNumberFormat="1" applyFont="1" applyBorder="1" applyAlignment="1">
      <alignment horizontal="center" vertical="center"/>
    </xf>
    <xf numFmtId="185" fontId="18" fillId="0" borderId="76" xfId="2" applyNumberFormat="1" applyFont="1" applyBorder="1" applyAlignment="1">
      <alignment horizontal="center" vertical="center"/>
    </xf>
    <xf numFmtId="185" fontId="18" fillId="0" borderId="77" xfId="2" applyNumberFormat="1" applyFont="1" applyBorder="1" applyAlignment="1">
      <alignment horizontal="center" vertical="center"/>
    </xf>
    <xf numFmtId="185" fontId="19" fillId="0" borderId="70" xfId="2" applyNumberFormat="1" applyFont="1" applyFill="1" applyBorder="1" applyAlignment="1">
      <alignment horizontal="center" vertical="center"/>
    </xf>
    <xf numFmtId="185" fontId="19" fillId="0" borderId="84" xfId="2" applyNumberFormat="1" applyFont="1" applyFill="1" applyBorder="1" applyAlignment="1">
      <alignment horizontal="center" vertical="center"/>
    </xf>
    <xf numFmtId="185" fontId="18" fillId="0" borderId="33" xfId="2" applyNumberFormat="1" applyFont="1" applyBorder="1" applyAlignment="1">
      <alignment horizontal="center" vertical="center"/>
    </xf>
    <xf numFmtId="185" fontId="18" fillId="0" borderId="47" xfId="2" applyNumberFormat="1" applyFont="1" applyBorder="1" applyAlignment="1">
      <alignment horizontal="center" vertical="center"/>
    </xf>
    <xf numFmtId="185" fontId="18" fillId="0" borderId="35" xfId="2" applyNumberFormat="1" applyFont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56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185" fontId="18" fillId="0" borderId="78" xfId="2" applyNumberFormat="1" applyFont="1" applyBorder="1" applyAlignment="1">
      <alignment horizontal="center" vertical="center"/>
    </xf>
    <xf numFmtId="185" fontId="18" fillId="0" borderId="81" xfId="2" applyNumberFormat="1" applyFont="1" applyBorder="1" applyAlignment="1">
      <alignment horizontal="center" vertical="center"/>
    </xf>
    <xf numFmtId="185" fontId="18" fillId="0" borderId="83" xfId="2" applyNumberFormat="1" applyFont="1" applyBorder="1" applyAlignment="1">
      <alignment horizontal="center" vertical="center"/>
    </xf>
    <xf numFmtId="185" fontId="19" fillId="0" borderId="30" xfId="2" applyNumberFormat="1" applyFont="1" applyFill="1" applyBorder="1" applyAlignment="1">
      <alignment horizontal="center" vertical="center"/>
    </xf>
    <xf numFmtId="185" fontId="19" fillId="0" borderId="56" xfId="2" applyNumberFormat="1" applyFont="1" applyFill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177" fontId="6" fillId="0" borderId="12" xfId="3" applyNumberFormat="1" applyFont="1" applyBorder="1" applyAlignment="1">
      <alignment horizontal="right" vertical="center"/>
    </xf>
    <xf numFmtId="177" fontId="6" fillId="0" borderId="79" xfId="3" applyNumberFormat="1" applyFont="1" applyBorder="1" applyAlignment="1">
      <alignment horizontal="right" vertical="center"/>
    </xf>
    <xf numFmtId="177" fontId="11" fillId="0" borderId="82" xfId="3" applyNumberFormat="1" applyFont="1" applyBorder="1" applyAlignment="1">
      <alignment horizontal="right" vertical="center"/>
    </xf>
    <xf numFmtId="177" fontId="11" fillId="0" borderId="23" xfId="3" applyNumberFormat="1" applyFont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0" fillId="0" borderId="80" xfId="0" applyBorder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indent="1"/>
    </xf>
    <xf numFmtId="177" fontId="11" fillId="4" borderId="82" xfId="3" applyNumberFormat="1" applyFont="1" applyFill="1" applyBorder="1" applyAlignment="1">
      <alignment horizontal="right" vertical="center"/>
    </xf>
    <xf numFmtId="177" fontId="11" fillId="4" borderId="23" xfId="3" applyNumberFormat="1" applyFont="1" applyFill="1" applyBorder="1" applyAlignment="1">
      <alignment horizontal="right" vertical="center"/>
    </xf>
    <xf numFmtId="186" fontId="6" fillId="0" borderId="15" xfId="4" applyNumberFormat="1" applyFont="1" applyBorder="1" applyAlignment="1">
      <alignment horizontal="right" vertical="center"/>
    </xf>
    <xf numFmtId="186" fontId="6" fillId="0" borderId="40" xfId="4" applyNumberFormat="1" applyFont="1" applyBorder="1" applyAlignment="1">
      <alignment horizontal="right" vertical="center"/>
    </xf>
    <xf numFmtId="186" fontId="11" fillId="4" borderId="52" xfId="4" applyNumberFormat="1" applyFont="1" applyFill="1" applyBorder="1" applyAlignment="1">
      <alignment horizontal="right" vertical="center"/>
    </xf>
    <xf numFmtId="186" fontId="11" fillId="4" borderId="26" xfId="4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2" fillId="0" borderId="80" xfId="0" applyFont="1" applyBorder="1">
      <alignment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186" fontId="6" fillId="0" borderId="14" xfId="4" applyNumberFormat="1" applyFont="1" applyBorder="1" applyAlignment="1">
      <alignment horizontal="right" vertical="center"/>
    </xf>
    <xf numFmtId="186" fontId="6" fillId="0" borderId="38" xfId="4" applyNumberFormat="1" applyFont="1" applyBorder="1" applyAlignment="1">
      <alignment horizontal="right" vertical="center"/>
    </xf>
    <xf numFmtId="186" fontId="11" fillId="4" borderId="50" xfId="4" applyNumberFormat="1" applyFont="1" applyFill="1" applyBorder="1" applyAlignment="1">
      <alignment horizontal="right" vertical="center"/>
    </xf>
    <xf numFmtId="186" fontId="11" fillId="4" borderId="25" xfId="4" applyNumberFormat="1" applyFont="1" applyFill="1" applyBorder="1" applyAlignment="1">
      <alignment horizontal="right" vertical="center"/>
    </xf>
    <xf numFmtId="177" fontId="11" fillId="4" borderId="51" xfId="4" applyNumberFormat="1" applyFont="1" applyFill="1" applyBorder="1" applyAlignment="1">
      <alignment horizontal="right" vertical="center"/>
    </xf>
    <xf numFmtId="177" fontId="11" fillId="4" borderId="29" xfId="4" applyNumberFormat="1" applyFont="1" applyFill="1" applyBorder="1" applyAlignment="1">
      <alignment horizontal="right" vertical="center"/>
    </xf>
    <xf numFmtId="49" fontId="11" fillId="4" borderId="48" xfId="0" applyNumberFormat="1" applyFont="1" applyFill="1" applyBorder="1" applyAlignment="1">
      <alignment horizontal="center" vertical="center" wrapText="1"/>
    </xf>
    <xf numFmtId="49" fontId="11" fillId="4" borderId="22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177" fontId="11" fillId="4" borderId="49" xfId="3" applyNumberFormat="1" applyFont="1" applyFill="1" applyBorder="1" applyAlignment="1">
      <alignment horizontal="right" vertical="center"/>
    </xf>
    <xf numFmtId="177" fontId="11" fillId="4" borderId="28" xfId="3" applyNumberFormat="1" applyFont="1" applyFill="1" applyBorder="1" applyAlignment="1">
      <alignment horizontal="right" vertical="center"/>
    </xf>
    <xf numFmtId="0" fontId="6" fillId="0" borderId="91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92" xfId="0" applyFont="1" applyBorder="1" applyAlignment="1">
      <alignment vertical="center" wrapText="1"/>
    </xf>
    <xf numFmtId="0" fontId="6" fillId="0" borderId="92" xfId="0" applyFont="1" applyBorder="1" applyAlignment="1">
      <alignment vertical="center"/>
    </xf>
    <xf numFmtId="0" fontId="6" fillId="0" borderId="92" xfId="0" applyFont="1" applyBorder="1" applyAlignment="1">
      <alignment horizontal="center" vertical="center" wrapText="1"/>
    </xf>
    <xf numFmtId="0" fontId="6" fillId="0" borderId="89" xfId="0" applyFont="1" applyFill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185" fontId="25" fillId="0" borderId="70" xfId="2" applyNumberFormat="1" applyFont="1" applyBorder="1" applyAlignment="1">
      <alignment horizontal="center" vertical="center"/>
    </xf>
    <xf numFmtId="185" fontId="25" fillId="0" borderId="76" xfId="2" applyNumberFormat="1" applyFont="1" applyBorder="1" applyAlignment="1">
      <alignment horizontal="center" vertical="center"/>
    </xf>
    <xf numFmtId="185" fontId="25" fillId="0" borderId="78" xfId="2" applyNumberFormat="1" applyFont="1" applyBorder="1" applyAlignment="1">
      <alignment horizontal="center" vertical="center"/>
    </xf>
    <xf numFmtId="185" fontId="25" fillId="0" borderId="81" xfId="2" applyNumberFormat="1" applyFont="1" applyBorder="1" applyAlignment="1">
      <alignment horizontal="center" vertical="center"/>
    </xf>
    <xf numFmtId="177" fontId="24" fillId="0" borderId="12" xfId="3" applyNumberFormat="1" applyFont="1" applyBorder="1" applyAlignment="1">
      <alignment horizontal="right" vertical="center"/>
    </xf>
    <xf numFmtId="177" fontId="24" fillId="0" borderId="79" xfId="3" applyNumberFormat="1" applyFont="1" applyBorder="1" applyAlignment="1">
      <alignment horizontal="right" vertical="center"/>
    </xf>
    <xf numFmtId="186" fontId="24" fillId="0" borderId="14" xfId="4" applyNumberFormat="1" applyFont="1" applyBorder="1" applyAlignment="1">
      <alignment horizontal="right" vertical="center"/>
    </xf>
    <xf numFmtId="186" fontId="24" fillId="0" borderId="38" xfId="4" applyNumberFormat="1" applyFont="1" applyBorder="1" applyAlignment="1">
      <alignment horizontal="right" vertical="center"/>
    </xf>
    <xf numFmtId="185" fontId="25" fillId="0" borderId="95" xfId="2" applyNumberFormat="1" applyFont="1" applyBorder="1" applyAlignment="1">
      <alignment horizontal="center" vertical="center"/>
    </xf>
    <xf numFmtId="185" fontId="25" fillId="0" borderId="98" xfId="2" applyNumberFormat="1" applyFont="1" applyBorder="1" applyAlignment="1">
      <alignment horizontal="center" vertical="center"/>
    </xf>
    <xf numFmtId="185" fontId="25" fillId="0" borderId="84" xfId="2" applyNumberFormat="1" applyFont="1" applyFill="1" applyBorder="1" applyAlignment="1">
      <alignment horizontal="center" vertical="center"/>
    </xf>
    <xf numFmtId="185" fontId="25" fillId="0" borderId="33" xfId="2" applyNumberFormat="1" applyFont="1" applyBorder="1" applyAlignment="1">
      <alignment horizontal="center" vertical="center"/>
    </xf>
    <xf numFmtId="185" fontId="25" fillId="0" borderId="47" xfId="2" applyNumberFormat="1" applyFont="1" applyBorder="1" applyAlignment="1">
      <alignment horizontal="center" vertical="center"/>
    </xf>
    <xf numFmtId="185" fontId="25" fillId="0" borderId="96" xfId="2" applyNumberFormat="1" applyFont="1" applyBorder="1" applyAlignment="1">
      <alignment horizontal="center" vertical="center"/>
    </xf>
    <xf numFmtId="185" fontId="25" fillId="0" borderId="99" xfId="2" applyNumberFormat="1" applyFont="1" applyBorder="1" applyAlignment="1">
      <alignment horizontal="center" vertical="center"/>
    </xf>
    <xf numFmtId="185" fontId="25" fillId="0" borderId="44" xfId="2" applyNumberFormat="1" applyFont="1" applyFill="1" applyBorder="1" applyAlignment="1">
      <alignment horizontal="center" vertical="center"/>
    </xf>
    <xf numFmtId="185" fontId="25" fillId="0" borderId="59" xfId="2" applyNumberFormat="1" applyFont="1" applyFill="1" applyBorder="1" applyAlignment="1">
      <alignment horizontal="center" vertical="center"/>
    </xf>
    <xf numFmtId="185" fontId="25" fillId="0" borderId="11" xfId="2" applyNumberFormat="1" applyFont="1" applyBorder="1" applyAlignment="1">
      <alignment horizontal="center" vertical="center"/>
    </xf>
    <xf numFmtId="185" fontId="25" fillId="0" borderId="80" xfId="2" applyNumberFormat="1" applyFont="1" applyBorder="1" applyAlignment="1">
      <alignment horizontal="center" vertical="center"/>
    </xf>
    <xf numFmtId="185" fontId="25" fillId="0" borderId="48" xfId="2" applyNumberFormat="1" applyFont="1" applyBorder="1" applyAlignment="1">
      <alignment horizontal="center" vertical="center"/>
    </xf>
    <xf numFmtId="185" fontId="25" fillId="0" borderId="36" xfId="2" applyNumberFormat="1" applyFont="1" applyBorder="1" applyAlignment="1">
      <alignment horizontal="center" vertical="center"/>
    </xf>
    <xf numFmtId="185" fontId="25" fillId="0" borderId="94" xfId="2" applyNumberFormat="1" applyFont="1" applyBorder="1" applyAlignment="1">
      <alignment horizontal="center" vertical="center"/>
    </xf>
    <xf numFmtId="185" fontId="25" fillId="0" borderId="97" xfId="2" applyNumberFormat="1" applyFont="1" applyBorder="1" applyAlignment="1">
      <alignment horizontal="center" vertical="center"/>
    </xf>
    <xf numFmtId="185" fontId="25" fillId="0" borderId="41" xfId="2" applyNumberFormat="1" applyFont="1" applyFill="1" applyBorder="1" applyAlignment="1">
      <alignment horizontal="center" vertical="center"/>
    </xf>
    <xf numFmtId="185" fontId="25" fillId="0" borderId="56" xfId="2" applyNumberFormat="1" applyFont="1" applyFill="1" applyBorder="1" applyAlignment="1">
      <alignment horizontal="center" vertical="center"/>
    </xf>
    <xf numFmtId="177" fontId="24" fillId="0" borderId="82" xfId="3" applyNumberFormat="1" applyFont="1" applyFill="1" applyBorder="1" applyAlignment="1">
      <alignment horizontal="right" vertical="center"/>
    </xf>
    <xf numFmtId="186" fontId="24" fillId="0" borderId="15" xfId="4" applyNumberFormat="1" applyFont="1" applyBorder="1" applyAlignment="1">
      <alignment horizontal="right" vertical="center"/>
    </xf>
    <xf numFmtId="186" fontId="24" fillId="0" borderId="40" xfId="4" applyNumberFormat="1" applyFont="1" applyBorder="1" applyAlignment="1">
      <alignment horizontal="right" vertical="center"/>
    </xf>
    <xf numFmtId="186" fontId="24" fillId="0" borderId="52" xfId="4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186" fontId="24" fillId="0" borderId="50" xfId="4" applyNumberFormat="1" applyFont="1" applyFill="1" applyBorder="1" applyAlignment="1">
      <alignment horizontal="right" vertical="center"/>
    </xf>
    <xf numFmtId="177" fontId="24" fillId="0" borderId="31" xfId="4" applyNumberFormat="1" applyFont="1" applyBorder="1" applyAlignment="1">
      <alignment horizontal="right" vertical="center"/>
    </xf>
    <xf numFmtId="177" fontId="24" fillId="0" borderId="39" xfId="4" applyNumberFormat="1" applyFont="1" applyBorder="1" applyAlignment="1">
      <alignment horizontal="right" vertical="center"/>
    </xf>
    <xf numFmtId="177" fontId="24" fillId="0" borderId="51" xfId="4" applyNumberFormat="1" applyFont="1" applyFill="1" applyBorder="1" applyAlignment="1">
      <alignment horizontal="right" vertical="center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177" fontId="24" fillId="0" borderId="30" xfId="3" applyNumberFormat="1" applyFont="1" applyBorder="1" applyAlignment="1">
      <alignment horizontal="right" vertical="center"/>
    </xf>
    <xf numFmtId="177" fontId="24" fillId="0" borderId="37" xfId="3" applyNumberFormat="1" applyFont="1" applyBorder="1" applyAlignment="1">
      <alignment horizontal="right" vertical="center"/>
    </xf>
    <xf numFmtId="177" fontId="24" fillId="0" borderId="49" xfId="3" applyNumberFormat="1" applyFont="1" applyFill="1" applyBorder="1" applyAlignment="1">
      <alignment horizontal="right" vertical="center"/>
    </xf>
    <xf numFmtId="0" fontId="6" fillId="0" borderId="90" xfId="0" applyFont="1" applyFill="1" applyBorder="1" applyAlignment="1">
      <alignment horizontal="center" vertical="center" wrapText="1"/>
    </xf>
    <xf numFmtId="0" fontId="4" fillId="0" borderId="85" xfId="0" applyFont="1" applyFill="1" applyBorder="1" applyAlignment="1">
      <alignment horizontal="center" vertical="center" textRotation="255"/>
    </xf>
    <xf numFmtId="0" fontId="4" fillId="0" borderId="87" xfId="0" applyFont="1" applyFill="1" applyBorder="1" applyAlignment="1">
      <alignment horizontal="center" vertical="center" textRotation="255"/>
    </xf>
    <xf numFmtId="0" fontId="4" fillId="0" borderId="67" xfId="0" applyFont="1" applyFill="1" applyBorder="1" applyAlignment="1">
      <alignment horizontal="center" vertical="center" textRotation="255"/>
    </xf>
    <xf numFmtId="0" fontId="3" fillId="0" borderId="64" xfId="0" applyFont="1" applyBorder="1" applyAlignment="1">
      <alignment horizontal="center" vertical="center"/>
    </xf>
    <xf numFmtId="0" fontId="6" fillId="0" borderId="91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6" fillId="0" borderId="106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 shrinkToFit="1"/>
    </xf>
    <xf numFmtId="0" fontId="6" fillId="0" borderId="111" xfId="0" applyFont="1" applyBorder="1" applyAlignment="1">
      <alignment horizontal="center" vertical="center" shrinkToFit="1"/>
    </xf>
    <xf numFmtId="177" fontId="24" fillId="0" borderId="113" xfId="3" applyNumberFormat="1" applyFont="1" applyBorder="1" applyAlignment="1">
      <alignment horizontal="right" vertical="center"/>
    </xf>
    <xf numFmtId="177" fontId="24" fillId="0" borderId="115" xfId="3" applyNumberFormat="1" applyFont="1" applyBorder="1" applyAlignment="1">
      <alignment horizontal="right" vertical="center"/>
    </xf>
    <xf numFmtId="177" fontId="24" fillId="0" borderId="117" xfId="3" applyNumberFormat="1" applyFont="1" applyFill="1" applyBorder="1" applyAlignment="1">
      <alignment horizontal="right" vertical="center"/>
    </xf>
    <xf numFmtId="0" fontId="6" fillId="0" borderId="25" xfId="0" applyFont="1" applyBorder="1" applyAlignment="1">
      <alignment horizontal="center" vertical="center" shrinkToFit="1"/>
    </xf>
    <xf numFmtId="187" fontId="24" fillId="0" borderId="14" xfId="4" applyNumberFormat="1" applyFont="1" applyBorder="1" applyAlignment="1">
      <alignment horizontal="right" vertical="center"/>
    </xf>
    <xf numFmtId="187" fontId="24" fillId="0" borderId="38" xfId="4" applyNumberFormat="1" applyFont="1" applyBorder="1" applyAlignment="1">
      <alignment horizontal="right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75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187" fontId="24" fillId="0" borderId="12" xfId="4" applyNumberFormat="1" applyFont="1" applyBorder="1" applyAlignment="1">
      <alignment horizontal="right" vertical="center"/>
    </xf>
    <xf numFmtId="187" fontId="24" fillId="0" borderId="79" xfId="4" applyNumberFormat="1" applyFont="1" applyBorder="1" applyAlignment="1">
      <alignment horizontal="right" vertical="center"/>
    </xf>
    <xf numFmtId="186" fontId="24" fillId="0" borderId="82" xfId="4" applyNumberFormat="1" applyFont="1" applyFill="1" applyBorder="1" applyAlignment="1">
      <alignment horizontal="right" vertical="center"/>
    </xf>
    <xf numFmtId="186" fontId="24" fillId="0" borderId="79" xfId="4" applyNumberFormat="1" applyFont="1" applyFill="1" applyBorder="1" applyAlignment="1">
      <alignment horizontal="right" vertical="center"/>
    </xf>
    <xf numFmtId="0" fontId="6" fillId="0" borderId="109" xfId="0" applyFont="1" applyBorder="1" applyAlignment="1">
      <alignment horizontal="center" vertical="center" shrinkToFit="1"/>
    </xf>
    <xf numFmtId="0" fontId="6" fillId="0" borderId="107" xfId="0" applyFont="1" applyBorder="1" applyAlignment="1">
      <alignment vertical="center"/>
    </xf>
    <xf numFmtId="0" fontId="6" fillId="0" borderId="45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75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177" fontId="24" fillId="0" borderId="12" xfId="3" applyNumberFormat="1" applyFont="1" applyFill="1" applyBorder="1" applyAlignment="1">
      <alignment horizontal="right" vertical="center"/>
    </xf>
    <xf numFmtId="177" fontId="24" fillId="0" borderId="79" xfId="3" applyNumberFormat="1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horizontal="center" vertical="center" shrinkToFit="1"/>
    </xf>
    <xf numFmtId="187" fontId="24" fillId="0" borderId="14" xfId="4" applyNumberFormat="1" applyFont="1" applyFill="1" applyBorder="1" applyAlignment="1">
      <alignment horizontal="right" vertical="center"/>
    </xf>
    <xf numFmtId="187" fontId="24" fillId="0" borderId="38" xfId="4" applyNumberFormat="1" applyFont="1" applyFill="1" applyBorder="1" applyAlignment="1">
      <alignment horizontal="right" vertical="center"/>
    </xf>
    <xf numFmtId="186" fontId="24" fillId="0" borderId="38" xfId="4" applyNumberFormat="1" applyFont="1" applyFill="1" applyBorder="1" applyAlignment="1">
      <alignment horizontal="right" vertical="center"/>
    </xf>
    <xf numFmtId="0" fontId="6" fillId="0" borderId="107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 shrinkToFit="1"/>
    </xf>
    <xf numFmtId="0" fontId="6" fillId="0" borderId="112" xfId="0" applyFont="1" applyBorder="1" applyAlignment="1">
      <alignment horizontal="center" vertical="center" shrinkToFit="1"/>
    </xf>
    <xf numFmtId="187" fontId="24" fillId="0" borderId="114" xfId="4" applyNumberFormat="1" applyFont="1" applyBorder="1" applyAlignment="1">
      <alignment horizontal="right" vertical="center"/>
    </xf>
    <xf numFmtId="187" fontId="24" fillId="0" borderId="116" xfId="4" applyNumberFormat="1" applyFont="1" applyBorder="1" applyAlignment="1">
      <alignment horizontal="right" vertical="center"/>
    </xf>
    <xf numFmtId="186" fontId="24" fillId="0" borderId="118" xfId="4" applyNumberFormat="1" applyFont="1" applyFill="1" applyBorder="1" applyAlignment="1">
      <alignment horizontal="right" vertical="center"/>
    </xf>
    <xf numFmtId="186" fontId="24" fillId="0" borderId="116" xfId="4" applyNumberFormat="1" applyFont="1" applyFill="1" applyBorder="1" applyAlignment="1">
      <alignment horizontal="right" vertical="center"/>
    </xf>
    <xf numFmtId="0" fontId="6" fillId="0" borderId="106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 wrapText="1"/>
    </xf>
    <xf numFmtId="0" fontId="6" fillId="0" borderId="109" xfId="0" applyFont="1" applyFill="1" applyBorder="1" applyAlignment="1">
      <alignment horizontal="center" vertical="center" shrinkToFit="1"/>
    </xf>
    <xf numFmtId="0" fontId="6" fillId="0" borderId="111" xfId="0" applyFont="1" applyFill="1" applyBorder="1" applyAlignment="1">
      <alignment horizontal="center" vertical="center" shrinkToFit="1"/>
    </xf>
    <xf numFmtId="0" fontId="6" fillId="0" borderId="110" xfId="0" applyFont="1" applyFill="1" applyBorder="1" applyAlignment="1">
      <alignment horizontal="center" vertical="center" shrinkToFit="1"/>
    </xf>
    <xf numFmtId="0" fontId="6" fillId="0" borderId="112" xfId="0" applyFont="1" applyFill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187" fontId="24" fillId="0" borderId="15" xfId="4" applyNumberFormat="1" applyFont="1" applyBorder="1" applyAlignment="1">
      <alignment horizontal="right" vertical="center"/>
    </xf>
    <xf numFmtId="187" fontId="24" fillId="0" borderId="40" xfId="4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85" fontId="25" fillId="0" borderId="0" xfId="2" applyNumberFormat="1" applyFont="1" applyBorder="1" applyAlignment="1">
      <alignment horizontal="center" vertical="center"/>
    </xf>
    <xf numFmtId="185" fontId="25" fillId="0" borderId="0" xfId="2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0" fillId="0" borderId="64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183" fontId="3" fillId="0" borderId="0" xfId="0" applyNumberFormat="1" applyFont="1">
      <alignment vertical="center"/>
    </xf>
  </cellXfs>
  <cellStyles count="5">
    <cellStyle name="パーセント" xfId="4" builtinId="5"/>
    <cellStyle name="桁区切り" xfId="2" builtinId="6"/>
    <cellStyle name="通貨" xfId="3" builtinId="7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60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rPr>
              <a:t>平成</a:t>
            </a:r>
            <a:r>
              <a:rPr lang="en-US" altLang="ja-JP"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rPr>
              <a:t>26</a:t>
            </a:r>
            <a:r>
              <a:rPr lang="ja-JP" altLang="en-US"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rPr>
              <a:t>年度所得階層別分布</a:t>
            </a:r>
          </a:p>
        </c:rich>
      </c:tx>
      <c:layout>
        <c:manualLayout>
          <c:xMode val="edge"/>
          <c:yMode val="edge"/>
          <c:x val="0.25645765732191489"/>
          <c:y val="2.018662142973271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590310586176725"/>
          <c:y val="0.12880316782892604"/>
          <c:w val="0.63472254993158073"/>
          <c:h val="0.82167141935685595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F11-4BDB-8319-9B29F739F3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F11-4BDB-8319-9B29F739F3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F11-4BDB-8319-9B29F739F3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F11-4BDB-8319-9B29F739F31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F11-4BDB-8319-9B29F739F31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F11-4BDB-8319-9B29F739F31E}"/>
              </c:ext>
            </c:extLst>
          </c:dPt>
          <c:dLbls>
            <c:dLbl>
              <c:idx val="0"/>
              <c:layout>
                <c:manualLayout>
                  <c:x val="3.0710166556306116E-2"/>
                  <c:y val="2.90486498553514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11-4BDB-8319-9B29F739F31E}"/>
                </c:ext>
              </c:extLst>
            </c:dLbl>
            <c:dLbl>
              <c:idx val="1"/>
              <c:layout>
                <c:manualLayout>
                  <c:x val="9.0533933568146307E-17"/>
                  <c:y val="-3.48581510968953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619753086419754"/>
                      <c:h val="0.11969507609373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F11-4BDB-8319-9B29F739F31E}"/>
                </c:ext>
              </c:extLst>
            </c:dLbl>
            <c:dLbl>
              <c:idx val="2"/>
              <c:layout>
                <c:manualLayout>
                  <c:x val="8.1453976685944951E-2"/>
                  <c:y val="-0.109297566306405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612345679012347"/>
                      <c:h val="0.11969507609373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F11-4BDB-8319-9B29F739F31E}"/>
                </c:ext>
              </c:extLst>
            </c:dLbl>
            <c:dLbl>
              <c:idx val="3"/>
              <c:layout>
                <c:manualLayout>
                  <c:x val="4.2179673949155534E-4"/>
                  <c:y val="7.98463608905990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65432098765431"/>
                      <c:h val="0.11969507609373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F11-4BDB-8319-9B29F739F31E}"/>
                </c:ext>
              </c:extLst>
            </c:dLbl>
            <c:dLbl>
              <c:idx val="4"/>
              <c:layout>
                <c:manualLayout>
                  <c:x val="1.5638081368455497E-3"/>
                  <c:y val="8.72028385144472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612345679012347"/>
                      <c:h val="0.11969507609373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F11-4BDB-8319-9B29F739F31E}"/>
                </c:ext>
              </c:extLst>
            </c:dLbl>
            <c:dLbl>
              <c:idx val="5"/>
              <c:layout>
                <c:manualLayout>
                  <c:x val="-0.10877389538312029"/>
                  <c:y val="3.39031270581658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11-4BDB-8319-9B29F739F3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200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0円～33万円</c:v>
              </c:pt>
              <c:pt idx="1">
                <c:v>34万円～100万円</c:v>
              </c:pt>
              <c:pt idx="2">
                <c:v>101万円～200万円</c:v>
              </c:pt>
              <c:pt idx="3">
                <c:v>201万円～400万円</c:v>
              </c:pt>
              <c:pt idx="4">
                <c:v>401万円～800万円</c:v>
              </c:pt>
              <c:pt idx="5">
                <c:v>801万円～</c:v>
              </c:pt>
            </c:strLit>
          </c:cat>
          <c:val>
            <c:numLit>
              <c:formatCode>General</c:formatCode>
              <c:ptCount val="6"/>
              <c:pt idx="0">
                <c:v>7014</c:v>
              </c:pt>
              <c:pt idx="1">
                <c:v>5344</c:v>
              </c:pt>
              <c:pt idx="2">
                <c:v>9982</c:v>
              </c:pt>
              <c:pt idx="3">
                <c:v>11012</c:v>
              </c:pt>
              <c:pt idx="4">
                <c:v>6014</c:v>
              </c:pt>
              <c:pt idx="5">
                <c:v>3321</c:v>
              </c:pt>
            </c:numLit>
          </c:val>
          <c:extLst>
            <c:ext xmlns:c16="http://schemas.microsoft.com/office/drawing/2014/chart" uri="{C3380CC4-5D6E-409C-BE32-E72D297353CC}">
              <c16:uniqueId val="{0000000C-5F11-4BDB-8319-9B29F739F31E}"/>
            </c:ext>
          </c:extLst>
        </c:ser>
        <c:ser>
          <c:idx val="0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5F11-4BDB-8319-9B29F739F3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5F11-4BDB-8319-9B29F739F3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5F11-4BDB-8319-9B29F739F3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5F11-4BDB-8319-9B29F739F31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5F11-4BDB-8319-9B29F739F31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5F11-4BDB-8319-9B29F739F31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5F11-4BDB-8319-9B29F739F31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5F11-4BDB-8319-9B29F739F31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5F11-4BDB-8319-9B29F739F31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5F11-4BDB-8319-9B29F739F31E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5F11-4BDB-8319-9B29F739F31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5F11-4BDB-8319-9B29F739F3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1000">
                    <a:solidFill>
                      <a:schemeClr val="tx1"/>
                    </a:solidFill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0円～33万円</c:v>
              </c:pt>
              <c:pt idx="1">
                <c:v>34万円～100万円</c:v>
              </c:pt>
              <c:pt idx="2">
                <c:v>101万円～200万円</c:v>
              </c:pt>
              <c:pt idx="3">
                <c:v>201万円～400万円</c:v>
              </c:pt>
              <c:pt idx="4">
                <c:v>401万円～800万円</c:v>
              </c:pt>
              <c:pt idx="5">
                <c:v>801万円～</c:v>
              </c:pt>
            </c:strLit>
          </c:cat>
          <c:val>
            <c:numLit>
              <c:formatCode>General</c:formatCode>
              <c:ptCount val="6"/>
              <c:pt idx="0">
                <c:v>7014</c:v>
              </c:pt>
              <c:pt idx="1">
                <c:v>5344</c:v>
              </c:pt>
              <c:pt idx="2">
                <c:v>9982</c:v>
              </c:pt>
              <c:pt idx="3">
                <c:v>11012</c:v>
              </c:pt>
              <c:pt idx="4">
                <c:v>6014</c:v>
              </c:pt>
              <c:pt idx="5">
                <c:v>3321</c:v>
              </c:pt>
            </c:numLit>
          </c:val>
          <c:extLst>
            <c:ext xmlns:c16="http://schemas.microsoft.com/office/drawing/2014/chart" uri="{C3380CC4-5D6E-409C-BE32-E72D297353CC}">
              <c16:uniqueId val="{00000019-5F11-4BDB-8319-9B29F739F31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/>
    </a:p>
  </c:txPr>
  <c:printSettings>
    <c:headerFooter/>
    <c:pageMargins b="0.75000000000000533" l="0.70000000000000062" r="0.70000000000000062" t="0.75000000000000533" header="0.30000000000000032" footer="0.30000000000000032"/>
    <c:pageSetup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</xdr:colOff>
      <xdr:row>45</xdr:row>
      <xdr:rowOff>492125</xdr:rowOff>
    </xdr:from>
    <xdr:to>
      <xdr:col>11</xdr:col>
      <xdr:colOff>549275</xdr:colOff>
      <xdr:row>74</xdr:row>
      <xdr:rowOff>67310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1064260</xdr:colOff>
      <xdr:row>53</xdr:row>
      <xdr:rowOff>67310</xdr:rowOff>
    </xdr:from>
    <xdr:ext cx="704215" cy="49149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682365" y="16278860"/>
          <a:ext cx="704215" cy="49149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r>
            <a:rPr kumimoji="1" lang="ja-JP" altLang="en-US" sz="1200" b="0"/>
            <a:t>７割軽減</a:t>
          </a:r>
          <a:endParaRPr kumimoji="1" lang="en-US" altLang="ja-JP" sz="1200" b="0"/>
        </a:p>
        <a:p>
          <a:r>
            <a:rPr kumimoji="1" lang="en-US" altLang="ja-JP" sz="1200" b="0"/>
            <a:t>7,014</a:t>
          </a:r>
          <a:r>
            <a:rPr kumimoji="1" lang="ja-JP" altLang="en-US" sz="1200" b="0"/>
            <a:t>人</a:t>
          </a:r>
        </a:p>
      </xdr:txBody>
    </xdr:sp>
    <xdr:clientData/>
  </xdr:oneCellAnchor>
  <xdr:twoCellAnchor>
    <xdr:from>
      <xdr:col>4</xdr:col>
      <xdr:colOff>212725</xdr:colOff>
      <xdr:row>57</xdr:row>
      <xdr:rowOff>145415</xdr:rowOff>
    </xdr:from>
    <xdr:to>
      <xdr:col>5</xdr:col>
      <xdr:colOff>134620</xdr:colOff>
      <xdr:row>64</xdr:row>
      <xdr:rowOff>123190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830830" y="17042765"/>
          <a:ext cx="1091565" cy="1177925"/>
        </a:xfrm>
        <a:prstGeom prst="ellipse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/>
            <a:t>未申告</a:t>
          </a:r>
          <a:endParaRPr kumimoji="1" lang="en-US" altLang="ja-JP" sz="1200"/>
        </a:p>
        <a:p>
          <a:pPr algn="ctr"/>
          <a:r>
            <a:rPr kumimoji="1" lang="en-US" altLang="ja-JP" sz="1200"/>
            <a:t>11</a:t>
          </a:r>
          <a:r>
            <a:rPr kumimoji="1" lang="ja-JP" altLang="en-US" sz="1200"/>
            <a:t>％</a:t>
          </a:r>
          <a:endParaRPr kumimoji="1" lang="en-US" altLang="ja-JP" sz="1200"/>
        </a:p>
        <a:p>
          <a:pPr algn="ctr"/>
          <a:r>
            <a:rPr kumimoji="1" lang="en-US" altLang="ja-JP" sz="1200"/>
            <a:t>5,608</a:t>
          </a:r>
          <a:r>
            <a:rPr kumimoji="1" lang="ja-JP" altLang="en-US" sz="1200"/>
            <a:t>人</a:t>
          </a:r>
        </a:p>
      </xdr:txBody>
    </xdr:sp>
    <xdr:clientData/>
  </xdr:twoCellAnchor>
  <xdr:oneCellAnchor>
    <xdr:from>
      <xdr:col>5</xdr:col>
      <xdr:colOff>100965</xdr:colOff>
      <xdr:row>58</xdr:row>
      <xdr:rowOff>89535</xdr:rowOff>
    </xdr:from>
    <xdr:ext cx="1311275" cy="705485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888740" y="17158335"/>
          <a:ext cx="1311275" cy="70548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r>
            <a:rPr kumimoji="1" lang="ja-JP" altLang="en-US" sz="1050" b="0"/>
            <a:t>５割・２割軽減</a:t>
          </a:r>
          <a:endParaRPr kumimoji="1" lang="en-US" altLang="ja-JP" sz="1050" b="0"/>
        </a:p>
        <a:p>
          <a:r>
            <a:rPr kumimoji="1" lang="en-US" altLang="ja-JP" sz="1200" b="0"/>
            <a:t>5.344</a:t>
          </a:r>
          <a:r>
            <a:rPr kumimoji="1" lang="ja-JP" altLang="en-US" sz="1200" b="0"/>
            <a:t>人</a:t>
          </a:r>
          <a:endParaRPr kumimoji="1" lang="en-US" altLang="ja-JP" sz="1200" b="0"/>
        </a:p>
        <a:p>
          <a:r>
            <a:rPr kumimoji="1" lang="ja-JP" altLang="en-US" sz="1050" b="0"/>
            <a:t>（</a:t>
          </a:r>
          <a:r>
            <a:rPr kumimoji="1" lang="ja-JP" altLang="en-US" sz="1100" b="0"/>
            <a:t>内２割軽減</a:t>
          </a:r>
          <a:r>
            <a:rPr kumimoji="1" lang="en-US" altLang="ja-JP" sz="1100" b="0"/>
            <a:t>2,032</a:t>
          </a:r>
          <a:r>
            <a:rPr kumimoji="1" lang="ja-JP" altLang="en-US" sz="1100" b="0"/>
            <a:t>人</a:t>
          </a:r>
          <a:r>
            <a:rPr kumimoji="1" lang="ja-JP" altLang="en-US" sz="1050" b="0"/>
            <a:t>）</a:t>
          </a:r>
        </a:p>
      </xdr:txBody>
    </xdr:sp>
    <xdr:clientData/>
  </xdr:oneCellAnchor>
  <xdr:oneCellAnchor>
    <xdr:from>
      <xdr:col>2</xdr:col>
      <xdr:colOff>673100</xdr:colOff>
      <xdr:row>64</xdr:row>
      <xdr:rowOff>156845</xdr:rowOff>
    </xdr:from>
    <xdr:ext cx="702945" cy="491490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130425" y="18254345"/>
          <a:ext cx="702945" cy="49149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r>
            <a:rPr kumimoji="1" lang="en-US" altLang="ja-JP" sz="1200"/>
            <a:t>11,012</a:t>
          </a:r>
          <a:r>
            <a:rPr kumimoji="1" lang="ja-JP" altLang="en-US" sz="1200"/>
            <a:t>人</a:t>
          </a:r>
        </a:p>
      </xdr:txBody>
    </xdr:sp>
    <xdr:clientData/>
  </xdr:oneCellAnchor>
  <xdr:oneCellAnchor>
    <xdr:from>
      <xdr:col>4</xdr:col>
      <xdr:colOff>1155065</xdr:colOff>
      <xdr:row>65</xdr:row>
      <xdr:rowOff>168275</xdr:rowOff>
    </xdr:from>
    <xdr:ext cx="702310" cy="491490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773170" y="18437225"/>
          <a:ext cx="702310" cy="49149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r>
            <a:rPr kumimoji="1" lang="en-US" altLang="ja-JP" sz="1200"/>
            <a:t>9,982</a:t>
          </a:r>
          <a:r>
            <a:rPr kumimoji="1" lang="ja-JP" altLang="en-US" sz="1200"/>
            <a:t>人</a:t>
          </a:r>
        </a:p>
      </xdr:txBody>
    </xdr:sp>
    <xdr:clientData/>
  </xdr:oneCellAnchor>
  <xdr:twoCellAnchor>
    <xdr:from>
      <xdr:col>2</xdr:col>
      <xdr:colOff>683260</xdr:colOff>
      <xdr:row>56</xdr:row>
      <xdr:rowOff>33655</xdr:rowOff>
    </xdr:from>
    <xdr:to>
      <xdr:col>4</xdr:col>
      <xdr:colOff>156845</xdr:colOff>
      <xdr:row>58</xdr:row>
      <xdr:rowOff>89535</xdr:rowOff>
    </xdr:to>
    <xdr:sp macro="" textlink="">
      <xdr:nvSpPr>
        <xdr:cNvPr id="20" name="テキスト ボックス 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2140585" y="16759555"/>
          <a:ext cx="634365" cy="39878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overflow" horzOverflow="overflow" wrap="square"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en-US" altLang="ja-JP" sz="1200"/>
            <a:t>6,014</a:t>
          </a:r>
          <a:r>
            <a:rPr kumimoji="1" lang="ja-JP" altLang="en-US" sz="1200"/>
            <a:t>人</a:t>
          </a:r>
        </a:p>
      </xdr:txBody>
    </xdr:sp>
    <xdr:clientData/>
  </xdr:twoCellAnchor>
  <xdr:twoCellAnchor>
    <xdr:from>
      <xdr:col>4</xdr:col>
      <xdr:colOff>168275</xdr:colOff>
      <xdr:row>52</xdr:row>
      <xdr:rowOff>89535</xdr:rowOff>
    </xdr:from>
    <xdr:to>
      <xdr:col>4</xdr:col>
      <xdr:colOff>873760</xdr:colOff>
      <xdr:row>54</xdr:row>
      <xdr:rowOff>67310</xdr:rowOff>
    </xdr:to>
    <xdr:sp macro="" textlink="">
      <xdr:nvSpPr>
        <xdr:cNvPr id="21" name="テキスト ボックス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786380" y="16129635"/>
          <a:ext cx="705485" cy="32067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overflow" horzOverflow="overflow" wrap="square" rtlCol="0" anchor="t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en-US" altLang="ja-JP" sz="1200"/>
            <a:t>3,321</a:t>
          </a:r>
          <a:r>
            <a:rPr kumimoji="1" lang="ja-JP" altLang="en-US" sz="1200"/>
            <a:t>人</a:t>
          </a:r>
        </a:p>
      </xdr:txBody>
    </xdr:sp>
    <xdr:clientData/>
  </xdr:twoCellAnchor>
  <xdr:twoCellAnchor>
    <xdr:from>
      <xdr:col>5</xdr:col>
      <xdr:colOff>182880</xdr:colOff>
      <xdr:row>34</xdr:row>
      <xdr:rowOff>12065</xdr:rowOff>
    </xdr:from>
    <xdr:to>
      <xdr:col>6</xdr:col>
      <xdr:colOff>964565</xdr:colOff>
      <xdr:row>35</xdr:row>
      <xdr:rowOff>22860</xdr:rowOff>
    </xdr:to>
    <xdr:sp macro="" textlink="">
      <xdr:nvSpPr>
        <xdr:cNvPr id="22" name="角丸四角形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970655" y="11261090"/>
          <a:ext cx="964565" cy="315595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（</a:t>
          </a:r>
          <a:r>
            <a:rPr kumimoji="1" lang="en-US" altLang="ja-JP" sz="1100"/>
            <a:t>2</a:t>
          </a:r>
          <a:r>
            <a:rPr kumimoji="1" lang="ja-JP" altLang="en-US" sz="1100"/>
            <a:t>割軽減）</a:t>
          </a:r>
        </a:p>
      </xdr:txBody>
    </xdr:sp>
    <xdr:clientData/>
  </xdr:twoCellAnchor>
  <xdr:twoCellAnchor>
    <xdr:from>
      <xdr:col>5</xdr:col>
      <xdr:colOff>179070</xdr:colOff>
      <xdr:row>31</xdr:row>
      <xdr:rowOff>291465</xdr:rowOff>
    </xdr:from>
    <xdr:to>
      <xdr:col>6</xdr:col>
      <xdr:colOff>952500</xdr:colOff>
      <xdr:row>33</xdr:row>
      <xdr:rowOff>33655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3966845" y="10626090"/>
          <a:ext cx="956310" cy="351790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（</a:t>
          </a:r>
          <a:r>
            <a:rPr kumimoji="1" lang="en-US" altLang="ja-JP" sz="1100"/>
            <a:t>5</a:t>
          </a:r>
          <a:r>
            <a:rPr kumimoji="1" lang="ja-JP" altLang="en-US" sz="1100"/>
            <a:t>割軽減）</a:t>
          </a:r>
        </a:p>
      </xdr:txBody>
    </xdr:sp>
    <xdr:clientData/>
  </xdr:twoCellAnchor>
  <xdr:twoCellAnchor>
    <xdr:from>
      <xdr:col>3</xdr:col>
      <xdr:colOff>134620</xdr:colOff>
      <xdr:row>28</xdr:row>
      <xdr:rowOff>22860</xdr:rowOff>
    </xdr:from>
    <xdr:to>
      <xdr:col>4</xdr:col>
      <xdr:colOff>919480</xdr:colOff>
      <xdr:row>29</xdr:row>
      <xdr:rowOff>33655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2578100" y="9443085"/>
          <a:ext cx="959485" cy="315595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/>
            <a:t>（</a:t>
          </a:r>
          <a:r>
            <a:rPr kumimoji="1" lang="en-US" altLang="ja-JP" sz="1050"/>
            <a:t>6</a:t>
          </a:r>
          <a:r>
            <a:rPr kumimoji="1" lang="ja-JP" altLang="en-US" sz="1050"/>
            <a:t>割軽減）</a:t>
          </a:r>
        </a:p>
      </xdr:txBody>
    </xdr:sp>
    <xdr:clientData/>
  </xdr:twoCellAnchor>
  <xdr:twoCellAnchor>
    <xdr:from>
      <xdr:col>3</xdr:col>
      <xdr:colOff>156845</xdr:colOff>
      <xdr:row>30</xdr:row>
      <xdr:rowOff>12065</xdr:rowOff>
    </xdr:from>
    <xdr:to>
      <xdr:col>4</xdr:col>
      <xdr:colOff>941070</xdr:colOff>
      <xdr:row>31</xdr:row>
      <xdr:rowOff>12065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2600325" y="10041890"/>
          <a:ext cx="958850" cy="304800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/>
            <a:t>（</a:t>
          </a:r>
          <a:r>
            <a:rPr kumimoji="1" lang="en-US" altLang="ja-JP" sz="1050"/>
            <a:t>6</a:t>
          </a:r>
          <a:r>
            <a:rPr kumimoji="1" lang="ja-JP" altLang="en-US" sz="1050"/>
            <a:t>割軽減）</a:t>
          </a:r>
        </a:p>
      </xdr:txBody>
    </xdr:sp>
    <xdr:clientData/>
  </xdr:twoCellAnchor>
  <xdr:twoCellAnchor>
    <xdr:from>
      <xdr:col>5</xdr:col>
      <xdr:colOff>168275</xdr:colOff>
      <xdr:row>27</xdr:row>
      <xdr:rowOff>481965</xdr:rowOff>
    </xdr:from>
    <xdr:to>
      <xdr:col>6</xdr:col>
      <xdr:colOff>941070</xdr:colOff>
      <xdr:row>29</xdr:row>
      <xdr:rowOff>78740</xdr:rowOff>
    </xdr:to>
    <xdr:sp macro="" textlink="">
      <xdr:nvSpPr>
        <xdr:cNvPr id="27" name="角丸四角形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956050" y="9406890"/>
          <a:ext cx="955675" cy="396875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（</a:t>
          </a:r>
          <a:r>
            <a:rPr kumimoji="1" lang="en-US" altLang="ja-JP" sz="1100"/>
            <a:t>7</a:t>
          </a:r>
          <a:r>
            <a:rPr kumimoji="1" lang="ja-JP" altLang="en-US" sz="1100"/>
            <a:t>割軽減）</a:t>
          </a:r>
        </a:p>
      </xdr:txBody>
    </xdr:sp>
    <xdr:clientData/>
  </xdr:twoCellAnchor>
  <xdr:twoCellAnchor>
    <xdr:from>
      <xdr:col>5</xdr:col>
      <xdr:colOff>179070</xdr:colOff>
      <xdr:row>29</xdr:row>
      <xdr:rowOff>279400</xdr:rowOff>
    </xdr:from>
    <xdr:to>
      <xdr:col>6</xdr:col>
      <xdr:colOff>952500</xdr:colOff>
      <xdr:row>31</xdr:row>
      <xdr:rowOff>22860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966845" y="10004425"/>
          <a:ext cx="956310" cy="353060"/>
        </a:xfrm>
        <a:prstGeom prst="roundRect">
          <a:avLst/>
        </a:prstGeom>
        <a:noFill/>
        <a:ln w="12700"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（</a:t>
          </a:r>
          <a:r>
            <a:rPr kumimoji="1" lang="en-US" altLang="ja-JP" sz="1100"/>
            <a:t>7</a:t>
          </a:r>
          <a:r>
            <a:rPr kumimoji="1" lang="ja-JP" altLang="en-US" sz="1100"/>
            <a:t>割軽減）</a:t>
          </a:r>
        </a:p>
      </xdr:txBody>
    </xdr:sp>
    <xdr:clientData/>
  </xdr:twoCellAnchor>
  <xdr:oneCellAnchor>
    <xdr:from>
      <xdr:col>2</xdr:col>
      <xdr:colOff>807085</xdr:colOff>
      <xdr:row>73</xdr:row>
      <xdr:rowOff>156845</xdr:rowOff>
    </xdr:from>
    <xdr:ext cx="2942590" cy="263525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264410" y="19797395"/>
          <a:ext cx="2942590" cy="26352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25</a:t>
          </a:r>
          <a:r>
            <a:rPr kumimoji="1" lang="ja-JP" altLang="en-US" sz="1100"/>
            <a:t>年度の所得分布についてもほぼ同率</a:t>
          </a:r>
        </a:p>
      </xdr:txBody>
    </xdr:sp>
    <xdr:clientData/>
  </xdr:oneCellAnchor>
  <xdr:twoCellAnchor>
    <xdr:from>
      <xdr:col>13</xdr:col>
      <xdr:colOff>403225</xdr:colOff>
      <xdr:row>58</xdr:row>
      <xdr:rowOff>67310</xdr:rowOff>
    </xdr:from>
    <xdr:to>
      <xdr:col>14</xdr:col>
      <xdr:colOff>168275</xdr:colOff>
      <xdr:row>59</xdr:row>
      <xdr:rowOff>100965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231505" y="17136110"/>
          <a:ext cx="401955" cy="2051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558165</xdr:colOff>
      <xdr:row>12</xdr:row>
      <xdr:rowOff>0</xdr:rowOff>
    </xdr:from>
    <xdr:to>
      <xdr:col>1</xdr:col>
      <xdr:colOff>560705</xdr:colOff>
      <xdr:row>14</xdr:row>
      <xdr:rowOff>9525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 flipH="1">
          <a:off x="959485" y="2952750"/>
          <a:ext cx="2540" cy="5429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549275</xdr:colOff>
      <xdr:row>15</xdr:row>
      <xdr:rowOff>266700</xdr:rowOff>
    </xdr:from>
    <xdr:to>
      <xdr:col>1</xdr:col>
      <xdr:colOff>553085</xdr:colOff>
      <xdr:row>18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950595" y="4019550"/>
          <a:ext cx="3810" cy="53340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11430</xdr:rowOff>
    </xdr:from>
    <xdr:to>
      <xdr:col>1</xdr:col>
      <xdr:colOff>560705</xdr:colOff>
      <xdr:row>16</xdr:row>
      <xdr:rowOff>11430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>
          <a:off x="401320" y="403098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560705</xdr:colOff>
      <xdr:row>12</xdr:row>
      <xdr:rowOff>0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CxnSpPr/>
      </xdr:nvCxnSpPr>
      <xdr:spPr>
        <a:xfrm>
          <a:off x="401320" y="295275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539115</xdr:colOff>
      <xdr:row>18</xdr:row>
      <xdr:rowOff>0</xdr:rowOff>
    </xdr:from>
    <xdr:to>
      <xdr:col>1</xdr:col>
      <xdr:colOff>1056005</xdr:colOff>
      <xdr:row>18</xdr:row>
      <xdr:rowOff>0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940435" y="4552950"/>
          <a:ext cx="51689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548005</xdr:colOff>
      <xdr:row>14</xdr:row>
      <xdr:rowOff>9525</xdr:rowOff>
    </xdr:from>
    <xdr:to>
      <xdr:col>2</xdr:col>
      <xdr:colOff>3810</xdr:colOff>
      <xdr:row>14</xdr:row>
      <xdr:rowOff>9525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>
          <a:off x="949325" y="3495675"/>
          <a:ext cx="51181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556260</xdr:colOff>
      <xdr:row>20</xdr:row>
      <xdr:rowOff>1905</xdr:rowOff>
    </xdr:from>
    <xdr:to>
      <xdr:col>1</xdr:col>
      <xdr:colOff>561340</xdr:colOff>
      <xdr:row>24</xdr:row>
      <xdr:rowOff>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 flipH="1">
          <a:off x="957580" y="5088255"/>
          <a:ext cx="5080" cy="106489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539115</xdr:colOff>
      <xdr:row>24</xdr:row>
      <xdr:rowOff>8255</xdr:rowOff>
    </xdr:from>
    <xdr:to>
      <xdr:col>1</xdr:col>
      <xdr:colOff>1056005</xdr:colOff>
      <xdr:row>24</xdr:row>
      <xdr:rowOff>8255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>
          <a:off x="940435" y="6161405"/>
          <a:ext cx="51689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20</xdr:row>
      <xdr:rowOff>11430</xdr:rowOff>
    </xdr:from>
    <xdr:to>
      <xdr:col>1</xdr:col>
      <xdr:colOff>560705</xdr:colOff>
      <xdr:row>20</xdr:row>
      <xdr:rowOff>11430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401320" y="509778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8255</xdr:colOff>
      <xdr:row>22</xdr:row>
      <xdr:rowOff>11430</xdr:rowOff>
    </xdr:from>
    <xdr:to>
      <xdr:col>1</xdr:col>
      <xdr:colOff>568960</xdr:colOff>
      <xdr:row>22</xdr:row>
      <xdr:rowOff>11430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>
        <a:xfrm>
          <a:off x="409575" y="563118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558165</xdr:colOff>
      <xdr:row>12</xdr:row>
      <xdr:rowOff>0</xdr:rowOff>
    </xdr:from>
    <xdr:to>
      <xdr:col>1</xdr:col>
      <xdr:colOff>560705</xdr:colOff>
      <xdr:row>14</xdr:row>
      <xdr:rowOff>9525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959485" y="2952750"/>
          <a:ext cx="2540" cy="5429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11430</xdr:rowOff>
    </xdr:from>
    <xdr:to>
      <xdr:col>1</xdr:col>
      <xdr:colOff>560705</xdr:colOff>
      <xdr:row>16</xdr:row>
      <xdr:rowOff>11430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401320" y="403098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560705</xdr:colOff>
      <xdr:row>12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401320" y="2952750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539115</xdr:colOff>
      <xdr:row>18</xdr:row>
      <xdr:rowOff>0</xdr:rowOff>
    </xdr:from>
    <xdr:to>
      <xdr:col>1</xdr:col>
      <xdr:colOff>1056005</xdr:colOff>
      <xdr:row>18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940435" y="4552950"/>
          <a:ext cx="51689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548005</xdr:colOff>
      <xdr:row>14</xdr:row>
      <xdr:rowOff>9525</xdr:rowOff>
    </xdr:from>
    <xdr:to>
      <xdr:col>2</xdr:col>
      <xdr:colOff>3810</xdr:colOff>
      <xdr:row>14</xdr:row>
      <xdr:rowOff>9525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949325" y="3495675"/>
          <a:ext cx="51181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618490</xdr:colOff>
      <xdr:row>22</xdr:row>
      <xdr:rowOff>1905</xdr:rowOff>
    </xdr:from>
    <xdr:to>
      <xdr:col>1</xdr:col>
      <xdr:colOff>619125</xdr:colOff>
      <xdr:row>24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1019810" y="5621655"/>
          <a:ext cx="635" cy="53149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605790</xdr:colOff>
      <xdr:row>24</xdr:row>
      <xdr:rowOff>8255</xdr:rowOff>
    </xdr:from>
    <xdr:to>
      <xdr:col>2</xdr:col>
      <xdr:colOff>9525</xdr:colOff>
      <xdr:row>24</xdr:row>
      <xdr:rowOff>9525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>
          <a:off x="1007110" y="6161405"/>
          <a:ext cx="459740" cy="127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16</xdr:row>
      <xdr:rowOff>12700</xdr:rowOff>
    </xdr:from>
    <xdr:to>
      <xdr:col>1</xdr:col>
      <xdr:colOff>552450</xdr:colOff>
      <xdr:row>18</xdr:row>
      <xdr:rowOff>9525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953770" y="4032250"/>
          <a:ext cx="0" cy="5302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401320</xdr:colOff>
      <xdr:row>22</xdr:row>
      <xdr:rowOff>9525</xdr:rowOff>
    </xdr:from>
    <xdr:to>
      <xdr:col>1</xdr:col>
      <xdr:colOff>603885</xdr:colOff>
      <xdr:row>22</xdr:row>
      <xdr:rowOff>9525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401320" y="5629275"/>
          <a:ext cx="60388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558165</xdr:colOff>
      <xdr:row>12</xdr:row>
      <xdr:rowOff>0</xdr:rowOff>
    </xdr:from>
    <xdr:to>
      <xdr:col>1</xdr:col>
      <xdr:colOff>560705</xdr:colOff>
      <xdr:row>14</xdr:row>
      <xdr:rowOff>9525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 flipH="1">
          <a:off x="959485" y="3000375"/>
          <a:ext cx="2540" cy="5429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11430</xdr:rowOff>
    </xdr:from>
    <xdr:to>
      <xdr:col>1</xdr:col>
      <xdr:colOff>560705</xdr:colOff>
      <xdr:row>16</xdr:row>
      <xdr:rowOff>11430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01320" y="4078605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560705</xdr:colOff>
      <xdr:row>12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401320" y="3000375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539115</xdr:colOff>
      <xdr:row>18</xdr:row>
      <xdr:rowOff>0</xdr:rowOff>
    </xdr:from>
    <xdr:to>
      <xdr:col>1</xdr:col>
      <xdr:colOff>1056005</xdr:colOff>
      <xdr:row>18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940435" y="4600575"/>
          <a:ext cx="51689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548005</xdr:colOff>
      <xdr:row>14</xdr:row>
      <xdr:rowOff>9525</xdr:rowOff>
    </xdr:from>
    <xdr:to>
      <xdr:col>2</xdr:col>
      <xdr:colOff>3810</xdr:colOff>
      <xdr:row>14</xdr:row>
      <xdr:rowOff>9525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949325" y="3543300"/>
          <a:ext cx="51181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16</xdr:row>
      <xdr:rowOff>12700</xdr:rowOff>
    </xdr:from>
    <xdr:to>
      <xdr:col>1</xdr:col>
      <xdr:colOff>552450</xdr:colOff>
      <xdr:row>18</xdr:row>
      <xdr:rowOff>9525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953770" y="4079875"/>
          <a:ext cx="0" cy="5302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558165</xdr:colOff>
      <xdr:row>12</xdr:row>
      <xdr:rowOff>0</xdr:rowOff>
    </xdr:from>
    <xdr:to>
      <xdr:col>1</xdr:col>
      <xdr:colOff>560705</xdr:colOff>
      <xdr:row>14</xdr:row>
      <xdr:rowOff>9525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 flipH="1">
          <a:off x="959485" y="3000375"/>
          <a:ext cx="2540" cy="5429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11430</xdr:rowOff>
    </xdr:from>
    <xdr:to>
      <xdr:col>1</xdr:col>
      <xdr:colOff>560705</xdr:colOff>
      <xdr:row>16</xdr:row>
      <xdr:rowOff>11430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01320" y="4078605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560705</xdr:colOff>
      <xdr:row>12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>
          <a:off x="401320" y="3000375"/>
          <a:ext cx="560705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539115</xdr:colOff>
      <xdr:row>18</xdr:row>
      <xdr:rowOff>0</xdr:rowOff>
    </xdr:from>
    <xdr:to>
      <xdr:col>1</xdr:col>
      <xdr:colOff>1056005</xdr:colOff>
      <xdr:row>18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CxnSpPr/>
      </xdr:nvCxnSpPr>
      <xdr:spPr>
        <a:xfrm>
          <a:off x="940435" y="4600575"/>
          <a:ext cx="51689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548005</xdr:colOff>
      <xdr:row>14</xdr:row>
      <xdr:rowOff>9525</xdr:rowOff>
    </xdr:from>
    <xdr:to>
      <xdr:col>2</xdr:col>
      <xdr:colOff>3810</xdr:colOff>
      <xdr:row>14</xdr:row>
      <xdr:rowOff>9525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CxnSpPr/>
      </xdr:nvCxnSpPr>
      <xdr:spPr>
        <a:xfrm>
          <a:off x="949325" y="3543300"/>
          <a:ext cx="511810" cy="0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16</xdr:row>
      <xdr:rowOff>12700</xdr:rowOff>
    </xdr:from>
    <xdr:to>
      <xdr:col>1</xdr:col>
      <xdr:colOff>552450</xdr:colOff>
      <xdr:row>18</xdr:row>
      <xdr:rowOff>9525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953770" y="4079875"/>
          <a:ext cx="0" cy="530225"/>
        </a:xfrm>
        <a:prstGeom prst="straightConnector1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923925</xdr:colOff>
      <xdr:row>33</xdr:row>
      <xdr:rowOff>238125</xdr:rowOff>
    </xdr:from>
    <xdr:to>
      <xdr:col>10</xdr:col>
      <xdr:colOff>47043</xdr:colOff>
      <xdr:row>45</xdr:row>
      <xdr:rowOff>180569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17C2CB8-F11E-4A17-B124-85B2E8E2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14600" y="8315325"/>
          <a:ext cx="4657143" cy="32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T47"/>
  <sheetViews>
    <sheetView view="pageBreakPreview" topLeftCell="A25" zoomScale="85" zoomScaleNormal="70" zoomScaleSheetLayoutView="85" workbookViewId="0">
      <selection activeCell="O33" sqref="O33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4.375" style="1" customWidth="1"/>
    <col min="10" max="10" width="2.75" style="1" customWidth="1"/>
    <col min="11" max="11" width="2.25" style="1" customWidth="1"/>
    <col min="12" max="12" width="12.375" style="2" customWidth="1"/>
    <col min="13" max="13" width="3.875" style="2" customWidth="1"/>
    <col min="14" max="14" width="9.125" style="1" bestFit="1" customWidth="1"/>
    <col min="15" max="16" width="12.125" style="1" bestFit="1" customWidth="1"/>
    <col min="17" max="17" width="9" style="1" customWidth="1"/>
    <col min="18" max="19" width="9.125" style="1" bestFit="1" customWidth="1"/>
    <col min="20" max="20" width="9" style="1" customWidth="1"/>
    <col min="21" max="16384" width="9" style="1"/>
  </cols>
  <sheetData>
    <row r="1" spans="1:16" ht="4.5" customHeight="1"/>
    <row r="2" spans="1:16" ht="27" customHeight="1">
      <c r="A2" s="260" t="s">
        <v>56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1:16" ht="3.75" customHeight="1">
      <c r="L3" s="77"/>
      <c r="M3" s="77"/>
    </row>
    <row r="4" spans="1:16" ht="28.5" customHeight="1">
      <c r="A4" s="261" t="s">
        <v>72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</row>
    <row r="5" spans="1:16" ht="10.5" customHeight="1">
      <c r="E5" s="12"/>
      <c r="F5" s="12"/>
    </row>
    <row r="6" spans="1:16" ht="42" customHeight="1">
      <c r="B6" s="4"/>
      <c r="C6" s="262"/>
      <c r="D6" s="263"/>
      <c r="E6" s="13" t="s">
        <v>46</v>
      </c>
      <c r="F6" s="11"/>
      <c r="G6" s="30" t="s">
        <v>48</v>
      </c>
      <c r="H6" s="42"/>
      <c r="I6" s="264" t="s">
        <v>2</v>
      </c>
      <c r="J6" s="265"/>
      <c r="K6" s="72"/>
      <c r="L6" s="266" t="s">
        <v>49</v>
      </c>
      <c r="M6" s="267"/>
    </row>
    <row r="7" spans="1:16" ht="33" customHeight="1">
      <c r="B7" s="211" t="s">
        <v>5</v>
      </c>
      <c r="C7" s="256" t="s">
        <v>6</v>
      </c>
      <c r="D7" s="257"/>
      <c r="E7" s="14">
        <v>5.0999999999999996</v>
      </c>
      <c r="F7" s="23" t="s">
        <v>10</v>
      </c>
      <c r="G7" s="31">
        <v>5.09</v>
      </c>
      <c r="H7" s="43" t="s">
        <v>10</v>
      </c>
      <c r="I7" s="45">
        <f t="shared" ref="I7:I22" si="0">G7-E7</f>
        <v>-9.9999999999997868E-3</v>
      </c>
      <c r="J7" s="56" t="s">
        <v>10</v>
      </c>
      <c r="K7" s="73"/>
      <c r="L7" s="78">
        <v>0.10999999999999943</v>
      </c>
      <c r="M7" s="85" t="s">
        <v>10</v>
      </c>
    </row>
    <row r="8" spans="1:16" ht="33" customHeight="1">
      <c r="B8" s="212"/>
      <c r="C8" s="258" t="s">
        <v>12</v>
      </c>
      <c r="D8" s="259"/>
      <c r="E8" s="15">
        <v>16680</v>
      </c>
      <c r="F8" s="24" t="s">
        <v>20</v>
      </c>
      <c r="G8" s="32">
        <v>19680</v>
      </c>
      <c r="H8" s="32" t="s">
        <v>20</v>
      </c>
      <c r="I8" s="46">
        <f t="shared" si="0"/>
        <v>3000</v>
      </c>
      <c r="J8" s="57" t="s">
        <v>20</v>
      </c>
      <c r="K8" s="22"/>
      <c r="L8" s="79">
        <v>360</v>
      </c>
      <c r="M8" s="86" t="s">
        <v>20</v>
      </c>
      <c r="P8" s="92"/>
    </row>
    <row r="9" spans="1:16" ht="33" customHeight="1">
      <c r="B9" s="212"/>
      <c r="C9" s="253" t="s">
        <v>11</v>
      </c>
      <c r="D9" s="230"/>
      <c r="E9" s="16">
        <v>12000</v>
      </c>
      <c r="F9" s="25" t="s">
        <v>20</v>
      </c>
      <c r="G9" s="33">
        <v>11760</v>
      </c>
      <c r="H9" s="33" t="s">
        <v>20</v>
      </c>
      <c r="I9" s="46">
        <f t="shared" si="0"/>
        <v>-240</v>
      </c>
      <c r="J9" s="58" t="s">
        <v>20</v>
      </c>
      <c r="K9" s="22"/>
      <c r="L9" s="80">
        <v>240</v>
      </c>
      <c r="M9" s="87" t="s">
        <v>20</v>
      </c>
      <c r="O9" s="92"/>
      <c r="P9" s="92"/>
    </row>
    <row r="10" spans="1:16" ht="33" customHeight="1">
      <c r="B10" s="213"/>
      <c r="C10" s="244" t="s">
        <v>7</v>
      </c>
      <c r="D10" s="224"/>
      <c r="E10" s="17">
        <v>62319</v>
      </c>
      <c r="F10" s="26" t="s">
        <v>20</v>
      </c>
      <c r="G10" s="34">
        <v>63330</v>
      </c>
      <c r="H10" s="34" t="s">
        <v>20</v>
      </c>
      <c r="I10" s="47">
        <f t="shared" si="0"/>
        <v>1011</v>
      </c>
      <c r="J10" s="59" t="s">
        <v>20</v>
      </c>
      <c r="K10" s="22"/>
      <c r="L10" s="81">
        <v>1574</v>
      </c>
      <c r="M10" s="88" t="s">
        <v>20</v>
      </c>
      <c r="O10" s="92"/>
    </row>
    <row r="11" spans="1:16" ht="33" customHeight="1">
      <c r="B11" s="211" t="s">
        <v>14</v>
      </c>
      <c r="C11" s="256" t="s">
        <v>6</v>
      </c>
      <c r="D11" s="257"/>
      <c r="E11" s="14">
        <v>2.29</v>
      </c>
      <c r="F11" s="23" t="s">
        <v>10</v>
      </c>
      <c r="G11" s="35">
        <v>2.25</v>
      </c>
      <c r="H11" s="43" t="s">
        <v>10</v>
      </c>
      <c r="I11" s="45">
        <f t="shared" si="0"/>
        <v>-4.0000000000000036E-2</v>
      </c>
      <c r="J11" s="56" t="s">
        <v>10</v>
      </c>
      <c r="K11" s="73"/>
      <c r="L11" s="78">
        <v>0</v>
      </c>
      <c r="M11" s="85" t="s">
        <v>10</v>
      </c>
    </row>
    <row r="12" spans="1:16" ht="33" customHeight="1">
      <c r="B12" s="212"/>
      <c r="C12" s="258" t="s">
        <v>12</v>
      </c>
      <c r="D12" s="259"/>
      <c r="E12" s="15">
        <v>6480</v>
      </c>
      <c r="F12" s="24" t="s">
        <v>20</v>
      </c>
      <c r="G12" s="32">
        <v>7800</v>
      </c>
      <c r="H12" s="32" t="s">
        <v>20</v>
      </c>
      <c r="I12" s="46">
        <f t="shared" si="0"/>
        <v>1320</v>
      </c>
      <c r="J12" s="57" t="s">
        <v>20</v>
      </c>
      <c r="K12" s="22"/>
      <c r="L12" s="79">
        <v>0</v>
      </c>
      <c r="M12" s="86" t="s">
        <v>20</v>
      </c>
    </row>
    <row r="13" spans="1:16" ht="33" customHeight="1">
      <c r="B13" s="212"/>
      <c r="C13" s="253" t="s">
        <v>11</v>
      </c>
      <c r="D13" s="230"/>
      <c r="E13" s="16">
        <v>4800</v>
      </c>
      <c r="F13" s="25" t="s">
        <v>20</v>
      </c>
      <c r="G13" s="33">
        <v>4680</v>
      </c>
      <c r="H13" s="33" t="s">
        <v>20</v>
      </c>
      <c r="I13" s="46">
        <f t="shared" si="0"/>
        <v>-120</v>
      </c>
      <c r="J13" s="58" t="s">
        <v>20</v>
      </c>
      <c r="K13" s="22"/>
      <c r="L13" s="80">
        <v>0</v>
      </c>
      <c r="M13" s="87" t="s">
        <v>20</v>
      </c>
    </row>
    <row r="14" spans="1:16" ht="33" customHeight="1">
      <c r="B14" s="213"/>
      <c r="C14" s="244" t="s">
        <v>7</v>
      </c>
      <c r="D14" s="224"/>
      <c r="E14" s="17">
        <v>24786</v>
      </c>
      <c r="F14" s="26" t="s">
        <v>20</v>
      </c>
      <c r="G14" s="34">
        <v>25589</v>
      </c>
      <c r="H14" s="34" t="s">
        <v>20</v>
      </c>
      <c r="I14" s="47">
        <f t="shared" si="0"/>
        <v>803</v>
      </c>
      <c r="J14" s="59" t="s">
        <v>20</v>
      </c>
      <c r="K14" s="22"/>
      <c r="L14" s="81">
        <v>135</v>
      </c>
      <c r="M14" s="88" t="s">
        <v>20</v>
      </c>
    </row>
    <row r="15" spans="1:16" ht="33" customHeight="1">
      <c r="B15" s="211" t="s">
        <v>22</v>
      </c>
      <c r="C15" s="256" t="s">
        <v>6</v>
      </c>
      <c r="D15" s="257"/>
      <c r="E15" s="18">
        <v>2.2999999999999998</v>
      </c>
      <c r="F15" s="23" t="s">
        <v>10</v>
      </c>
      <c r="G15" s="36">
        <v>2.14</v>
      </c>
      <c r="H15" s="43" t="s">
        <v>10</v>
      </c>
      <c r="I15" s="45">
        <f t="shared" si="0"/>
        <v>-0.1599999999999997</v>
      </c>
      <c r="J15" s="56" t="s">
        <v>10</v>
      </c>
      <c r="K15" s="73"/>
      <c r="L15" s="78">
        <v>0</v>
      </c>
      <c r="M15" s="85" t="s">
        <v>10</v>
      </c>
    </row>
    <row r="16" spans="1:16" ht="33" customHeight="1">
      <c r="B16" s="212"/>
      <c r="C16" s="258" t="s">
        <v>12</v>
      </c>
      <c r="D16" s="259"/>
      <c r="E16" s="15">
        <v>7080</v>
      </c>
      <c r="F16" s="24" t="s">
        <v>20</v>
      </c>
      <c r="G16" s="32">
        <v>8040</v>
      </c>
      <c r="H16" s="32" t="s">
        <v>20</v>
      </c>
      <c r="I16" s="46">
        <f t="shared" si="0"/>
        <v>960</v>
      </c>
      <c r="J16" s="57" t="s">
        <v>20</v>
      </c>
      <c r="K16" s="22"/>
      <c r="L16" s="79">
        <v>0</v>
      </c>
      <c r="M16" s="86" t="s">
        <v>20</v>
      </c>
    </row>
    <row r="17" spans="1:19" ht="33" customHeight="1">
      <c r="B17" s="212"/>
      <c r="C17" s="253" t="s">
        <v>11</v>
      </c>
      <c r="D17" s="230"/>
      <c r="E17" s="16">
        <v>3840</v>
      </c>
      <c r="F17" s="25" t="s">
        <v>20</v>
      </c>
      <c r="G17" s="33">
        <v>3720</v>
      </c>
      <c r="H17" s="33" t="s">
        <v>20</v>
      </c>
      <c r="I17" s="46">
        <f t="shared" si="0"/>
        <v>-120</v>
      </c>
      <c r="J17" s="58" t="s">
        <v>20</v>
      </c>
      <c r="K17" s="22"/>
      <c r="L17" s="80">
        <v>0</v>
      </c>
      <c r="M17" s="87" t="s">
        <v>20</v>
      </c>
    </row>
    <row r="18" spans="1:19" ht="33" customHeight="1">
      <c r="B18" s="212"/>
      <c r="C18" s="254" t="s">
        <v>7</v>
      </c>
      <c r="D18" s="255"/>
      <c r="E18" s="19">
        <v>27728</v>
      </c>
      <c r="F18" s="27" t="s">
        <v>20</v>
      </c>
      <c r="G18" s="37">
        <v>27777</v>
      </c>
      <c r="H18" s="37" t="s">
        <v>20</v>
      </c>
      <c r="I18" s="48">
        <f t="shared" si="0"/>
        <v>49</v>
      </c>
      <c r="J18" s="60" t="s">
        <v>20</v>
      </c>
      <c r="K18" s="22"/>
      <c r="L18" s="82">
        <v>338</v>
      </c>
      <c r="M18" s="89" t="s">
        <v>20</v>
      </c>
    </row>
    <row r="19" spans="1:19" ht="33" customHeight="1">
      <c r="B19" s="214" t="s">
        <v>23</v>
      </c>
      <c r="C19" s="256" t="s">
        <v>6</v>
      </c>
      <c r="D19" s="257"/>
      <c r="E19" s="20">
        <v>9.69</v>
      </c>
      <c r="F19" s="28" t="s">
        <v>10</v>
      </c>
      <c r="G19" s="38">
        <f>G7+G11+G15</f>
        <v>9.48</v>
      </c>
      <c r="H19" s="44" t="s">
        <v>10</v>
      </c>
      <c r="I19" s="49">
        <f t="shared" si="0"/>
        <v>-0.20999999999999908</v>
      </c>
      <c r="J19" s="61" t="s">
        <v>10</v>
      </c>
      <c r="K19" s="73"/>
      <c r="L19" s="83">
        <v>0.11</v>
      </c>
      <c r="M19" s="90" t="s">
        <v>10</v>
      </c>
    </row>
    <row r="20" spans="1:19" ht="33" customHeight="1">
      <c r="B20" s="212"/>
      <c r="C20" s="258" t="s">
        <v>12</v>
      </c>
      <c r="D20" s="259"/>
      <c r="E20" s="15">
        <v>30240</v>
      </c>
      <c r="F20" s="24" t="s">
        <v>20</v>
      </c>
      <c r="G20" s="32">
        <f>G8+G12+G16</f>
        <v>35520</v>
      </c>
      <c r="H20" s="32" t="s">
        <v>20</v>
      </c>
      <c r="I20" s="46">
        <f t="shared" si="0"/>
        <v>5280</v>
      </c>
      <c r="J20" s="57" t="s">
        <v>20</v>
      </c>
      <c r="K20" s="22"/>
      <c r="L20" s="79">
        <v>360</v>
      </c>
      <c r="M20" s="86" t="s">
        <v>20</v>
      </c>
    </row>
    <row r="21" spans="1:19" ht="33" customHeight="1">
      <c r="B21" s="212"/>
      <c r="C21" s="253" t="s">
        <v>11</v>
      </c>
      <c r="D21" s="230"/>
      <c r="E21" s="16">
        <v>20640</v>
      </c>
      <c r="F21" s="25" t="s">
        <v>20</v>
      </c>
      <c r="G21" s="33">
        <f>G9+G13+G17</f>
        <v>20160</v>
      </c>
      <c r="H21" s="33" t="s">
        <v>20</v>
      </c>
      <c r="I21" s="50">
        <f t="shared" si="0"/>
        <v>-480</v>
      </c>
      <c r="J21" s="62" t="s">
        <v>20</v>
      </c>
      <c r="K21" s="22"/>
      <c r="L21" s="80">
        <v>240</v>
      </c>
      <c r="M21" s="87" t="s">
        <v>20</v>
      </c>
    </row>
    <row r="22" spans="1:19" ht="33" customHeight="1">
      <c r="B22" s="213"/>
      <c r="C22" s="244" t="s">
        <v>7</v>
      </c>
      <c r="D22" s="224"/>
      <c r="E22" s="21">
        <v>114833</v>
      </c>
      <c r="F22" s="29" t="s">
        <v>20</v>
      </c>
      <c r="G22" s="39">
        <f>G10+G14+G18</f>
        <v>116696</v>
      </c>
      <c r="H22" s="39" t="s">
        <v>20</v>
      </c>
      <c r="I22" s="51">
        <f t="shared" si="0"/>
        <v>1863</v>
      </c>
      <c r="J22" s="63" t="s">
        <v>20</v>
      </c>
      <c r="K22" s="74"/>
      <c r="L22" s="80">
        <v>2047</v>
      </c>
      <c r="M22" s="87" t="s">
        <v>20</v>
      </c>
    </row>
    <row r="23" spans="1:19" ht="11.25" customHeight="1">
      <c r="A23" s="3"/>
      <c r="B23" s="5"/>
      <c r="C23" s="10"/>
      <c r="D23" s="10"/>
      <c r="E23" s="22"/>
      <c r="F23" s="22"/>
      <c r="G23" s="40"/>
      <c r="H23" s="40"/>
      <c r="I23" s="22"/>
      <c r="J23" s="22"/>
      <c r="K23" s="22"/>
      <c r="L23" s="10"/>
      <c r="M23" s="10"/>
    </row>
    <row r="24" spans="1:19" ht="11.25" customHeight="1">
      <c r="A24" s="3"/>
      <c r="B24" s="5"/>
      <c r="C24" s="10"/>
      <c r="D24" s="10"/>
      <c r="E24" s="22"/>
      <c r="F24" s="22"/>
      <c r="G24" s="40"/>
      <c r="H24" s="40"/>
      <c r="I24" s="22"/>
      <c r="J24" s="22"/>
      <c r="K24" s="22"/>
      <c r="L24" s="10"/>
      <c r="M24" s="10"/>
    </row>
    <row r="25" spans="1:19" ht="11.25" customHeight="1">
      <c r="A25" s="3"/>
      <c r="B25" s="5"/>
      <c r="C25" s="10"/>
      <c r="D25" s="10"/>
      <c r="E25" s="22"/>
      <c r="F25" s="22"/>
      <c r="G25" s="40"/>
      <c r="H25" s="40"/>
      <c r="I25" s="22"/>
      <c r="J25" s="22"/>
      <c r="K25" s="22"/>
      <c r="L25" s="10"/>
      <c r="M25" s="10"/>
    </row>
    <row r="26" spans="1:19" ht="17.25">
      <c r="B26" s="6" t="s">
        <v>55</v>
      </c>
      <c r="G26" s="41"/>
      <c r="H26" s="41"/>
      <c r="O26" s="1" t="s">
        <v>31</v>
      </c>
    </row>
    <row r="27" spans="1:19" ht="7.5" customHeight="1">
      <c r="G27" s="41"/>
      <c r="H27" s="41"/>
      <c r="O27" s="1" t="s">
        <v>32</v>
      </c>
    </row>
    <row r="28" spans="1:19" ht="39" customHeight="1">
      <c r="B28" s="7"/>
      <c r="C28" s="245" t="s">
        <v>25</v>
      </c>
      <c r="D28" s="246"/>
      <c r="E28" s="247" t="s">
        <v>50</v>
      </c>
      <c r="F28" s="248"/>
      <c r="G28" s="249" t="s">
        <v>37</v>
      </c>
      <c r="H28" s="250"/>
      <c r="I28" s="251" t="s">
        <v>60</v>
      </c>
      <c r="J28" s="252"/>
      <c r="K28" s="3"/>
      <c r="L28" s="237"/>
      <c r="M28" s="237"/>
      <c r="O28" s="93">
        <v>25</v>
      </c>
      <c r="P28" s="93">
        <v>26</v>
      </c>
      <c r="R28" s="1">
        <v>24</v>
      </c>
      <c r="S28" s="1">
        <v>25</v>
      </c>
    </row>
    <row r="29" spans="1:19" ht="24" customHeight="1">
      <c r="B29" s="215" t="s">
        <v>18</v>
      </c>
      <c r="C29" s="238" t="s">
        <v>52</v>
      </c>
      <c r="D29" s="239"/>
      <c r="E29" s="240">
        <f>O29</f>
        <v>20352</v>
      </c>
      <c r="F29" s="241"/>
      <c r="G29" s="242">
        <f>P29</f>
        <v>16704</v>
      </c>
      <c r="H29" s="243"/>
      <c r="I29" s="52">
        <f>G29-E29</f>
        <v>-3648</v>
      </c>
      <c r="J29" s="64" t="s">
        <v>20</v>
      </c>
      <c r="K29" s="75"/>
      <c r="L29" s="10"/>
      <c r="M29" s="91"/>
      <c r="N29" s="1">
        <v>0</v>
      </c>
      <c r="O29" s="94">
        <v>20352</v>
      </c>
      <c r="P29" s="94">
        <v>16704</v>
      </c>
      <c r="R29" s="116"/>
      <c r="S29" s="116"/>
    </row>
    <row r="30" spans="1:19" ht="24" customHeight="1">
      <c r="B30" s="216"/>
      <c r="C30" s="229" t="s">
        <v>26</v>
      </c>
      <c r="D30" s="230"/>
      <c r="E30" s="231" t="s">
        <v>61</v>
      </c>
      <c r="F30" s="232"/>
      <c r="G30" s="235" t="s">
        <v>0</v>
      </c>
      <c r="H30" s="236"/>
      <c r="I30" s="53">
        <f>I29/12</f>
        <v>-304</v>
      </c>
      <c r="J30" s="65" t="s">
        <v>20</v>
      </c>
      <c r="K30" s="73"/>
      <c r="L30" s="84"/>
      <c r="M30" s="91"/>
      <c r="O30" s="95">
        <f>-ROUND(SUM(O29/1000000*100),2)</f>
        <v>-2.04</v>
      </c>
      <c r="P30" s="95">
        <f>-ROUND(SUM(P29/1000000*100),2)</f>
        <v>-1.67</v>
      </c>
      <c r="R30" s="116"/>
      <c r="S30" s="116"/>
    </row>
    <row r="31" spans="1:19" ht="24" customHeight="1">
      <c r="B31" s="216"/>
      <c r="C31" s="217" t="s">
        <v>13</v>
      </c>
      <c r="D31" s="218"/>
      <c r="E31" s="219">
        <f>O31</f>
        <v>20352</v>
      </c>
      <c r="F31" s="220"/>
      <c r="G31" s="221">
        <f>P31</f>
        <v>16704</v>
      </c>
      <c r="H31" s="222"/>
      <c r="I31" s="54">
        <f>G31-E31</f>
        <v>-3648</v>
      </c>
      <c r="J31" s="66" t="s">
        <v>20</v>
      </c>
      <c r="K31" s="75"/>
      <c r="L31" s="10"/>
      <c r="M31" s="10"/>
      <c r="N31" s="1">
        <v>33</v>
      </c>
      <c r="O31" s="94">
        <v>20352</v>
      </c>
      <c r="P31" s="94">
        <v>16704</v>
      </c>
      <c r="R31" s="116"/>
      <c r="S31" s="116"/>
    </row>
    <row r="32" spans="1:19" ht="24" customHeight="1">
      <c r="B32" s="216"/>
      <c r="C32" s="229" t="s">
        <v>53</v>
      </c>
      <c r="D32" s="230"/>
      <c r="E32" s="231" t="s">
        <v>61</v>
      </c>
      <c r="F32" s="232"/>
      <c r="G32" s="235" t="s">
        <v>0</v>
      </c>
      <c r="H32" s="236"/>
      <c r="I32" s="53">
        <f>I31/12</f>
        <v>-304</v>
      </c>
      <c r="J32" s="66" t="s">
        <v>20</v>
      </c>
      <c r="K32" s="73"/>
      <c r="L32" s="84"/>
      <c r="M32" s="10"/>
      <c r="O32" s="96">
        <f>-ROUND(SUM(O31/1000000*100),2)</f>
        <v>-2.04</v>
      </c>
      <c r="P32" s="96">
        <f>-ROUND(SUM(P31/1000000*100),2)</f>
        <v>-1.67</v>
      </c>
      <c r="R32" s="116"/>
      <c r="S32" s="116"/>
    </row>
    <row r="33" spans="2:20" ht="24" customHeight="1">
      <c r="B33" s="205" t="s">
        <v>58</v>
      </c>
      <c r="C33" s="217" t="s">
        <v>24</v>
      </c>
      <c r="D33" s="218"/>
      <c r="E33" s="219">
        <f>O33</f>
        <v>67353</v>
      </c>
      <c r="F33" s="220"/>
      <c r="G33" s="221">
        <f>P33</f>
        <v>43956</v>
      </c>
      <c r="H33" s="222"/>
      <c r="I33" s="54">
        <f>G33-E33</f>
        <v>-23397</v>
      </c>
      <c r="J33" s="67" t="s">
        <v>20</v>
      </c>
      <c r="K33" s="76"/>
      <c r="L33" s="10"/>
      <c r="M33" s="10"/>
      <c r="N33" s="1">
        <v>50</v>
      </c>
      <c r="O33" s="97">
        <f>(500000-330000)*0.051+16680+12000+(500000-330000)*0.0229+6480+4800+(500000-330000)*0.023+7080+3840</f>
        <v>67353</v>
      </c>
      <c r="P33" s="107">
        <f>(500000-330000)*0.0509+(19680+11760)*0.5+(500000-330000)*0.0225+(7800+4680)*0.5+(500000-330000)*0.0214+(8040+3720)*0.5</f>
        <v>43956</v>
      </c>
      <c r="R33" s="116"/>
      <c r="S33" s="116"/>
    </row>
    <row r="34" spans="2:20" ht="24" customHeight="1">
      <c r="B34" s="206"/>
      <c r="C34" s="229" t="s">
        <v>53</v>
      </c>
      <c r="D34" s="230"/>
      <c r="E34" s="231" t="s">
        <v>17</v>
      </c>
      <c r="F34" s="232"/>
      <c r="G34" s="235" t="s">
        <v>68</v>
      </c>
      <c r="H34" s="236"/>
      <c r="I34" s="53">
        <f>I33/12</f>
        <v>-1949.75</v>
      </c>
      <c r="J34" s="65" t="s">
        <v>20</v>
      </c>
      <c r="K34" s="76"/>
      <c r="L34" s="84"/>
      <c r="M34" s="10"/>
      <c r="O34" s="98">
        <f>-ROUND(SUM(O33/1000000*100),2)</f>
        <v>-6.74</v>
      </c>
      <c r="P34" s="98">
        <f>-ROUND(SUM(P33/1000000*100),2)</f>
        <v>-4.4000000000000004</v>
      </c>
      <c r="R34" s="115">
        <v>25</v>
      </c>
      <c r="S34" s="120">
        <v>26</v>
      </c>
    </row>
    <row r="35" spans="2:20" ht="24" customHeight="1">
      <c r="B35" s="206"/>
      <c r="C35" s="217" t="s">
        <v>51</v>
      </c>
      <c r="D35" s="218"/>
      <c r="E35" s="219">
        <f>O35</f>
        <v>86733</v>
      </c>
      <c r="F35" s="220"/>
      <c r="G35" s="221">
        <f>P35</f>
        <v>79620</v>
      </c>
      <c r="H35" s="222"/>
      <c r="I35" s="54">
        <f>G35-E35</f>
        <v>-7113</v>
      </c>
      <c r="J35" s="68" t="s">
        <v>20</v>
      </c>
      <c r="K35" s="73"/>
      <c r="L35" s="10"/>
      <c r="M35" s="10"/>
      <c r="N35" s="1">
        <v>70</v>
      </c>
      <c r="O35" s="97">
        <f>(700000-330000)*0.051+16680+12000+(700000-330000)*0.0229+6480+4800+(700000-330000)*0.023+7080+3840</f>
        <v>86733</v>
      </c>
      <c r="P35" s="97">
        <f>(700000-330000)*0.0509+(19680+11760)*0.8+(700000-330000)*0.0225+(7800+4680)*0.8+(700000-330000)*0.0214+(8040+3720)*0.8</f>
        <v>79620</v>
      </c>
      <c r="Q35" s="112" t="s">
        <v>35</v>
      </c>
      <c r="R35" s="117">
        <f>(8000000-330000)*0.051+16680*2+12000</f>
        <v>436530</v>
      </c>
      <c r="S35" s="121">
        <f>(8000000-330000)*0.0509+19680*2+11760</f>
        <v>441523</v>
      </c>
    </row>
    <row r="36" spans="2:20" ht="24" customHeight="1">
      <c r="B36" s="207"/>
      <c r="C36" s="229" t="s">
        <v>26</v>
      </c>
      <c r="D36" s="230"/>
      <c r="E36" s="231" t="s">
        <v>3</v>
      </c>
      <c r="F36" s="232"/>
      <c r="G36" s="235" t="s">
        <v>43</v>
      </c>
      <c r="H36" s="236"/>
      <c r="I36" s="53">
        <f>I35/12</f>
        <v>-592.75</v>
      </c>
      <c r="J36" s="65" t="s">
        <v>20</v>
      </c>
      <c r="K36" s="73"/>
      <c r="L36" s="84"/>
      <c r="M36" s="10"/>
      <c r="O36" s="98">
        <f>-ROUND(SUM(O35/1000000*100),2)</f>
        <v>-8.67</v>
      </c>
      <c r="P36" s="98">
        <f>-ROUND(SUM(P35/1000000*100),2)</f>
        <v>-7.96</v>
      </c>
      <c r="Q36" s="113" t="s">
        <v>36</v>
      </c>
      <c r="R36" s="118">
        <f>(8000000-330000)*0.0229+6480*2+4800</f>
        <v>193403</v>
      </c>
      <c r="S36" s="122">
        <f>(8000000-330000)*0.0225+7800*2+4680</f>
        <v>192855</v>
      </c>
      <c r="T36" s="124" t="s">
        <v>38</v>
      </c>
    </row>
    <row r="37" spans="2:20" ht="24" customHeight="1">
      <c r="B37" s="8"/>
      <c r="C37" s="217" t="s">
        <v>45</v>
      </c>
      <c r="D37" s="218"/>
      <c r="E37" s="219">
        <f>O37</f>
        <v>115803</v>
      </c>
      <c r="F37" s="220"/>
      <c r="G37" s="221">
        <f>P37</f>
        <v>119196</v>
      </c>
      <c r="H37" s="222"/>
      <c r="I37" s="54">
        <f>G37-E37</f>
        <v>3393</v>
      </c>
      <c r="J37" s="68" t="s">
        <v>20</v>
      </c>
      <c r="K37" s="22"/>
      <c r="N37" s="1">
        <v>100</v>
      </c>
      <c r="O37" s="99">
        <f>(1000000-330000)*0.051+16680+12000+(1000000-330000)*0.0229+6480+4800+(1000000-330000)*0.023+7080+3840</f>
        <v>115803</v>
      </c>
      <c r="P37" s="99">
        <f>(1000000-330000)*0.0509+19680+11760+(1000000-330000)*0.0225+7800+4680+(1000000-330000)*0.0214+8040+3720</f>
        <v>119196</v>
      </c>
      <c r="Q37" s="114" t="s">
        <v>40</v>
      </c>
      <c r="R37" s="119">
        <f>(8000000-330000)*0.023+7080*2+3840</f>
        <v>194410</v>
      </c>
      <c r="S37" s="123">
        <f>(8000000-330000)*0.0214+8040*2+3720</f>
        <v>183938</v>
      </c>
      <c r="T37" s="124" t="s">
        <v>38</v>
      </c>
    </row>
    <row r="38" spans="2:20" ht="24" customHeight="1">
      <c r="B38" s="9"/>
      <c r="C38" s="229" t="s">
        <v>26</v>
      </c>
      <c r="D38" s="230"/>
      <c r="E38" s="231" t="s">
        <v>64</v>
      </c>
      <c r="F38" s="232"/>
      <c r="G38" s="235" t="s">
        <v>65</v>
      </c>
      <c r="H38" s="236"/>
      <c r="I38" s="53">
        <f>I37/12</f>
        <v>282.75</v>
      </c>
      <c r="J38" s="65" t="s">
        <v>20</v>
      </c>
      <c r="K38" s="22"/>
      <c r="O38" s="100">
        <f>-ROUND(SUM(O37/1000000*100),2)</f>
        <v>-11.58</v>
      </c>
      <c r="P38" s="100">
        <f>-ROUND(SUM(P37/1000000*100),2)</f>
        <v>-11.92</v>
      </c>
      <c r="S38" s="1" t="s">
        <v>41</v>
      </c>
    </row>
    <row r="39" spans="2:20" ht="24" customHeight="1">
      <c r="B39" s="208"/>
      <c r="C39" s="217" t="s">
        <v>57</v>
      </c>
      <c r="D39" s="218"/>
      <c r="E39" s="219">
        <f>O39</f>
        <v>242943</v>
      </c>
      <c r="F39" s="220"/>
      <c r="G39" s="221">
        <f>P39</f>
        <v>249516</v>
      </c>
      <c r="H39" s="222"/>
      <c r="I39" s="54">
        <f>G39-E39</f>
        <v>6573</v>
      </c>
      <c r="J39" s="69" t="s">
        <v>20</v>
      </c>
      <c r="K39" s="22"/>
      <c r="N39" s="1">
        <v>200</v>
      </c>
      <c r="O39" s="101">
        <f>(2000000-330000)*0.051+16680*2+12000+(2000000-330000)*0.0229+6480*2+4800+(2000000-330000)*0.023+7080*2+3840</f>
        <v>242943</v>
      </c>
      <c r="P39" s="101">
        <f>(2000000-330000)*0.0509+19680*2+11760+(2000000-330000)*0.0225+7800*2+4680+(2000000-330000)*0.0214+8040*2+3720</f>
        <v>249516</v>
      </c>
      <c r="S39" s="1" t="s">
        <v>41</v>
      </c>
    </row>
    <row r="40" spans="2:20" ht="24" customHeight="1">
      <c r="B40" s="208"/>
      <c r="C40" s="229" t="s">
        <v>39</v>
      </c>
      <c r="D40" s="230"/>
      <c r="E40" s="231" t="s">
        <v>29</v>
      </c>
      <c r="F40" s="232"/>
      <c r="G40" s="235" t="s">
        <v>69</v>
      </c>
      <c r="H40" s="236"/>
      <c r="I40" s="53">
        <f>I39/12</f>
        <v>547.75</v>
      </c>
      <c r="J40" s="70" t="s">
        <v>20</v>
      </c>
      <c r="K40" s="22"/>
      <c r="O40" s="102">
        <f>-ROUND(SUM(O39/2000000*100),2)</f>
        <v>-12.15</v>
      </c>
      <c r="P40" s="102">
        <f>-ROUND(SUM(P39/2000000*100),2)</f>
        <v>-12.48</v>
      </c>
      <c r="S40" s="1" t="s">
        <v>41</v>
      </c>
    </row>
    <row r="41" spans="2:20" ht="24" customHeight="1">
      <c r="B41" s="209"/>
      <c r="C41" s="217" t="s">
        <v>27</v>
      </c>
      <c r="D41" s="218"/>
      <c r="E41" s="219">
        <f>O41</f>
        <v>436743</v>
      </c>
      <c r="F41" s="220"/>
      <c r="G41" s="221">
        <f>P41</f>
        <v>439116</v>
      </c>
      <c r="H41" s="222"/>
      <c r="I41" s="54">
        <f>G41-E41</f>
        <v>2373</v>
      </c>
      <c r="J41" s="69" t="s">
        <v>20</v>
      </c>
      <c r="K41" s="22"/>
      <c r="N41" s="1">
        <v>400</v>
      </c>
      <c r="O41" s="103">
        <f>(4000000-330000)*0.051+16680*2+12000+(4000000-330000)*0.0229+6480*2+4800+(4000000-330000)*0.023+7080*2+3840</f>
        <v>436743</v>
      </c>
      <c r="P41" s="103">
        <f>(4000000-330000)*0.0509+19680*2+11760+(4000000-330000)*0.0225+7800*2+4680+(4000000-330000)*0.0214+8040*2+3720</f>
        <v>439116</v>
      </c>
      <c r="S41" s="1" t="s">
        <v>41</v>
      </c>
    </row>
    <row r="42" spans="2:20" ht="24" customHeight="1">
      <c r="B42" s="210"/>
      <c r="C42" s="229" t="s">
        <v>39</v>
      </c>
      <c r="D42" s="230"/>
      <c r="E42" s="231" t="s">
        <v>66</v>
      </c>
      <c r="F42" s="232"/>
      <c r="G42" s="233">
        <v>0.10979999999999999</v>
      </c>
      <c r="H42" s="234"/>
      <c r="I42" s="53">
        <f>I41/12</f>
        <v>197.75</v>
      </c>
      <c r="J42" s="70" t="s">
        <v>20</v>
      </c>
      <c r="K42" s="22"/>
      <c r="O42" s="102">
        <f>-ROUND(SUM(O41/4000000*100),2)</f>
        <v>-10.92</v>
      </c>
      <c r="P42" s="102">
        <f>-ROUND(SUM(P41/4000000*100),2)</f>
        <v>-10.98</v>
      </c>
      <c r="S42" s="1" t="s">
        <v>41</v>
      </c>
    </row>
    <row r="43" spans="2:20" ht="24" customHeight="1">
      <c r="B43" s="208" t="s">
        <v>59</v>
      </c>
      <c r="C43" s="217" t="s">
        <v>28</v>
      </c>
      <c r="D43" s="218"/>
      <c r="E43" s="219">
        <f>O46</f>
        <v>696530</v>
      </c>
      <c r="F43" s="220"/>
      <c r="G43" s="221">
        <f>P46</f>
        <v>741523</v>
      </c>
      <c r="H43" s="222"/>
      <c r="I43" s="54">
        <f>G43-E43</f>
        <v>44993</v>
      </c>
      <c r="J43" s="69" t="s">
        <v>20</v>
      </c>
      <c r="N43" s="1">
        <v>800</v>
      </c>
      <c r="O43" s="103">
        <f>R35+R36+R37</f>
        <v>824343</v>
      </c>
      <c r="P43" s="108">
        <f>S35+S36+S37</f>
        <v>818316</v>
      </c>
      <c r="Q43" s="1" t="s">
        <v>44</v>
      </c>
      <c r="R43" s="1" t="s">
        <v>44</v>
      </c>
      <c r="S43" s="1" t="s">
        <v>34</v>
      </c>
    </row>
    <row r="44" spans="2:20" ht="24" customHeight="1">
      <c r="B44" s="208"/>
      <c r="C44" s="223" t="s">
        <v>39</v>
      </c>
      <c r="D44" s="224"/>
      <c r="E44" s="225" t="s">
        <v>21</v>
      </c>
      <c r="F44" s="226"/>
      <c r="G44" s="227" t="s">
        <v>62</v>
      </c>
      <c r="H44" s="228"/>
      <c r="I44" s="55">
        <f>I43/12</f>
        <v>3749.4166666666665</v>
      </c>
      <c r="J44" s="71" t="s">
        <v>20</v>
      </c>
      <c r="O44" s="102">
        <f>-ROUND(SUM(O43/8000000*100),2)</f>
        <v>-10.3</v>
      </c>
      <c r="P44" s="109">
        <f>-ROUND(SUM(P43/8000000*100),2)</f>
        <v>-10.23</v>
      </c>
    </row>
    <row r="45" spans="2:20">
      <c r="O45" s="104" t="s">
        <v>41</v>
      </c>
      <c r="P45" s="104" t="s">
        <v>41</v>
      </c>
    </row>
    <row r="46" spans="2:20" ht="42.75" customHeight="1">
      <c r="O46" s="105">
        <f>R35+140000+120000</f>
        <v>696530</v>
      </c>
      <c r="P46" s="110">
        <f>S35+160000+140000</f>
        <v>741523</v>
      </c>
    </row>
    <row r="47" spans="2:20">
      <c r="O47" s="106">
        <f>-ROUND(SUM(O46/8000000*100),2)</f>
        <v>-8.7100000000000009</v>
      </c>
      <c r="P47" s="111">
        <f>-ROUND(SUM(P46/8000000*100),2)</f>
        <v>-9.27</v>
      </c>
    </row>
  </sheetData>
  <mergeCells count="83">
    <mergeCell ref="A2:M2"/>
    <mergeCell ref="A4:M4"/>
    <mergeCell ref="C6:D6"/>
    <mergeCell ref="I6:J6"/>
    <mergeCell ref="L6:M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8:D28"/>
    <mergeCell ref="E28:F28"/>
    <mergeCell ref="G28:H28"/>
    <mergeCell ref="I28:J28"/>
    <mergeCell ref="L28:M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C33:D33"/>
    <mergeCell ref="E33:F33"/>
    <mergeCell ref="G33:H33"/>
    <mergeCell ref="C34:D34"/>
    <mergeCell ref="E34:F34"/>
    <mergeCell ref="G34:H34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C40:D40"/>
    <mergeCell ref="E40:F40"/>
    <mergeCell ref="G40:H40"/>
    <mergeCell ref="C41:D41"/>
    <mergeCell ref="E41:F41"/>
    <mergeCell ref="G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B33:B36"/>
    <mergeCell ref="B39:B40"/>
    <mergeCell ref="B41:B42"/>
    <mergeCell ref="B43:B44"/>
    <mergeCell ref="B7:B10"/>
    <mergeCell ref="B11:B14"/>
    <mergeCell ref="B15:B18"/>
    <mergeCell ref="B19:B22"/>
    <mergeCell ref="B29:B32"/>
  </mergeCells>
  <phoneticPr fontId="2"/>
  <printOptions horizontalCentered="1"/>
  <pageMargins left="0.59055118110236227" right="0.59055118110236227" top="0.74803149606299213" bottom="0.78740157480314965" header="0.31496062992125984" footer="0.31496062992125984"/>
  <pageSetup paperSize="9" scale="75" orientation="portrait" r:id="rId1"/>
  <headerFooter>
    <oddFooter xml:space="preserve">&amp;C
</oddFooter>
  </headerFooter>
  <rowBreaks count="1" manualBreakCount="1">
    <brk id="23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V55"/>
  <sheetViews>
    <sheetView view="pageBreakPreview" zoomScaleNormal="70" zoomScaleSheetLayoutView="100" workbookViewId="0">
      <selection activeCell="O33" sqref="O33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4.375" style="1" customWidth="1"/>
    <col min="10" max="10" width="2.75" style="1" customWidth="1"/>
    <col min="11" max="11" width="2.25" style="1" customWidth="1"/>
    <col min="12" max="12" width="12.375" style="2" customWidth="1"/>
    <col min="13" max="13" width="3.875" style="2" customWidth="1"/>
    <col min="14" max="14" width="9.125" style="1" bestFit="1" customWidth="1"/>
    <col min="15" max="16" width="12.125" style="1" bestFit="1" customWidth="1"/>
    <col min="17" max="17" width="9" style="1" customWidth="1"/>
    <col min="18" max="19" width="9.125" style="1" bestFit="1" customWidth="1"/>
    <col min="20" max="20" width="10.5" style="1" bestFit="1" customWidth="1"/>
    <col min="21" max="21" width="9" style="1" customWidth="1"/>
    <col min="22" max="16384" width="9" style="1"/>
  </cols>
  <sheetData>
    <row r="1" spans="1:20" ht="4.5" customHeight="1"/>
    <row r="2" spans="1:20" ht="27" customHeight="1">
      <c r="A2" s="260" t="s">
        <v>90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1:20" ht="11.25" customHeight="1">
      <c r="A3" s="3"/>
      <c r="B3" s="5"/>
      <c r="C3" s="10"/>
      <c r="D3" s="10"/>
      <c r="E3" s="22"/>
      <c r="F3" s="22"/>
      <c r="G3" s="40"/>
      <c r="H3" s="40"/>
      <c r="I3" s="22"/>
      <c r="J3" s="22"/>
      <c r="K3" s="22"/>
      <c r="L3" s="10"/>
      <c r="M3" s="10"/>
    </row>
    <row r="4" spans="1:20" ht="17.25">
      <c r="B4" s="6" t="s">
        <v>102</v>
      </c>
      <c r="G4" s="41"/>
      <c r="H4" s="41"/>
    </row>
    <row r="5" spans="1:20" ht="7.5" customHeight="1">
      <c r="G5" s="41"/>
      <c r="H5" s="41"/>
    </row>
    <row r="6" spans="1:20" ht="39" customHeight="1">
      <c r="B6" s="7"/>
      <c r="C6" s="245" t="s">
        <v>25</v>
      </c>
      <c r="D6" s="246"/>
      <c r="E6" s="247" t="s">
        <v>54</v>
      </c>
      <c r="F6" s="248"/>
      <c r="G6" s="249" t="s">
        <v>30</v>
      </c>
      <c r="H6" s="250"/>
      <c r="I6" s="251" t="s">
        <v>60</v>
      </c>
      <c r="J6" s="252"/>
      <c r="K6" s="3"/>
      <c r="L6" s="126"/>
      <c r="M6" s="126"/>
      <c r="O6" s="93">
        <v>26</v>
      </c>
      <c r="P6" s="93">
        <v>27</v>
      </c>
      <c r="R6" s="1">
        <v>24</v>
      </c>
      <c r="S6" s="1">
        <v>25</v>
      </c>
    </row>
    <row r="7" spans="1:20" ht="21" customHeight="1">
      <c r="B7" s="215" t="s">
        <v>73</v>
      </c>
      <c r="C7" s="238" t="s">
        <v>52</v>
      </c>
      <c r="D7" s="239"/>
      <c r="E7" s="240">
        <f>O7</f>
        <v>16704</v>
      </c>
      <c r="F7" s="241"/>
      <c r="G7" s="242">
        <f>P7</f>
        <v>16704</v>
      </c>
      <c r="H7" s="243"/>
      <c r="I7" s="52">
        <f>G7-E7</f>
        <v>0</v>
      </c>
      <c r="J7" s="64" t="s">
        <v>20</v>
      </c>
      <c r="K7" s="75"/>
      <c r="L7" s="10"/>
      <c r="M7" s="91"/>
      <c r="N7" s="1">
        <v>0</v>
      </c>
      <c r="O7" s="127">
        <v>16704</v>
      </c>
      <c r="P7" s="127">
        <v>16704</v>
      </c>
      <c r="R7" s="116"/>
      <c r="S7" s="116"/>
    </row>
    <row r="8" spans="1:20" ht="21" customHeight="1">
      <c r="B8" s="216"/>
      <c r="C8" s="229" t="s">
        <v>26</v>
      </c>
      <c r="D8" s="312"/>
      <c r="E8" s="231" t="s">
        <v>0</v>
      </c>
      <c r="F8" s="232"/>
      <c r="G8" s="235" t="s">
        <v>0</v>
      </c>
      <c r="H8" s="236"/>
      <c r="I8" s="53">
        <f>I7/12</f>
        <v>0</v>
      </c>
      <c r="J8" s="65" t="s">
        <v>20</v>
      </c>
      <c r="K8" s="73"/>
      <c r="L8" s="84"/>
      <c r="M8" s="91"/>
      <c r="O8" s="128">
        <f>-ROUND(SUM(O7/1000000*100),2)</f>
        <v>-1.67</v>
      </c>
      <c r="P8" s="128">
        <f>-ROUND(SUM(P7/1000000*100),2)</f>
        <v>-1.67</v>
      </c>
      <c r="R8" s="116"/>
      <c r="S8" s="116"/>
    </row>
    <row r="9" spans="1:20" ht="21" customHeight="1">
      <c r="B9" s="216"/>
      <c r="C9" s="217" t="s">
        <v>13</v>
      </c>
      <c r="D9" s="218"/>
      <c r="E9" s="219">
        <f>O9</f>
        <v>16704</v>
      </c>
      <c r="F9" s="220"/>
      <c r="G9" s="221">
        <f>P9</f>
        <v>16704</v>
      </c>
      <c r="H9" s="222"/>
      <c r="I9" s="54">
        <f>G9-E9</f>
        <v>0</v>
      </c>
      <c r="J9" s="66" t="s">
        <v>20</v>
      </c>
      <c r="K9" s="75"/>
      <c r="L9" s="10"/>
      <c r="M9" s="10"/>
      <c r="N9" s="1">
        <v>33</v>
      </c>
      <c r="O9" s="129">
        <v>16704</v>
      </c>
      <c r="P9" s="129">
        <v>16704</v>
      </c>
      <c r="R9" s="116"/>
      <c r="S9" s="116"/>
    </row>
    <row r="10" spans="1:20" ht="21" customHeight="1">
      <c r="B10" s="216"/>
      <c r="C10" s="229" t="s">
        <v>53</v>
      </c>
      <c r="D10" s="312"/>
      <c r="E10" s="231" t="s">
        <v>0</v>
      </c>
      <c r="F10" s="232"/>
      <c r="G10" s="235" t="s">
        <v>0</v>
      </c>
      <c r="H10" s="236"/>
      <c r="I10" s="53">
        <f>I9/12</f>
        <v>0</v>
      </c>
      <c r="J10" s="66" t="s">
        <v>20</v>
      </c>
      <c r="K10" s="73"/>
      <c r="L10" s="84"/>
      <c r="M10" s="10"/>
      <c r="O10" s="130">
        <f>-ROUND(SUM(O9/1000000*100),2)</f>
        <v>-1.67</v>
      </c>
      <c r="P10" s="130">
        <f>-ROUND(SUM(P9/1000000*100),2)</f>
        <v>-1.67</v>
      </c>
      <c r="R10" s="116"/>
      <c r="S10" s="116"/>
    </row>
    <row r="11" spans="1:20" ht="21" customHeight="1">
      <c r="B11" s="209" t="s">
        <v>67</v>
      </c>
      <c r="C11" s="217" t="s">
        <v>24</v>
      </c>
      <c r="D11" s="218"/>
      <c r="E11" s="219">
        <f>O11</f>
        <v>43956</v>
      </c>
      <c r="F11" s="220"/>
      <c r="G11" s="221">
        <f>P11</f>
        <v>43956</v>
      </c>
      <c r="H11" s="222"/>
      <c r="I11" s="54">
        <f>G11-E11</f>
        <v>0</v>
      </c>
      <c r="J11" s="67" t="s">
        <v>20</v>
      </c>
      <c r="K11" s="76"/>
      <c r="L11" s="10"/>
      <c r="M11" s="10"/>
      <c r="N11" s="1">
        <v>50</v>
      </c>
      <c r="O11" s="129">
        <f>(500000-330000)*0.0509+(19680+11760)*0.5+(500000-330000)*0.0225+(7800+4680)*0.5+(500000-330000)*0.0214+(8040+3720)*0.5</f>
        <v>43956</v>
      </c>
      <c r="P11" s="129">
        <f>(500000-330000)*0.0509+(19680+11760)*0.5+(500000-330000)*0.0225+(7800+4680)*0.5+(500000-330000)*0.0214+(8040+3720)*0.5</f>
        <v>43956</v>
      </c>
      <c r="R11" s="116"/>
      <c r="S11" s="116"/>
    </row>
    <row r="12" spans="1:20" ht="21" customHeight="1">
      <c r="B12" s="277"/>
      <c r="C12" s="229" t="s">
        <v>53</v>
      </c>
      <c r="D12" s="230"/>
      <c r="E12" s="231" t="s">
        <v>68</v>
      </c>
      <c r="F12" s="232"/>
      <c r="G12" s="235" t="s">
        <v>68</v>
      </c>
      <c r="H12" s="236"/>
      <c r="I12" s="53">
        <f>I11/12</f>
        <v>0</v>
      </c>
      <c r="J12" s="65" t="s">
        <v>20</v>
      </c>
      <c r="K12" s="76"/>
      <c r="L12" s="84"/>
      <c r="M12" s="10"/>
      <c r="O12" s="130">
        <f>-ROUND(SUM(O11/1000000*100),2)</f>
        <v>-4.4000000000000004</v>
      </c>
      <c r="P12" s="130">
        <f>-ROUND(SUM(P11/1000000*100),2)</f>
        <v>-4.4000000000000004</v>
      </c>
    </row>
    <row r="13" spans="1:20" ht="21" customHeight="1">
      <c r="B13" s="278"/>
      <c r="C13" s="217" t="s">
        <v>74</v>
      </c>
      <c r="D13" s="218"/>
      <c r="E13" s="219">
        <f>O13</f>
        <v>68244</v>
      </c>
      <c r="F13" s="220"/>
      <c r="G13" s="221">
        <f>P13</f>
        <v>51540</v>
      </c>
      <c r="H13" s="222"/>
      <c r="I13" s="54">
        <f>G13-E13</f>
        <v>-16704</v>
      </c>
      <c r="J13" s="68" t="s">
        <v>20</v>
      </c>
      <c r="K13" s="73"/>
      <c r="L13" s="10"/>
      <c r="M13" s="10"/>
      <c r="N13" s="1">
        <v>58</v>
      </c>
      <c r="O13" s="129">
        <f>(580000-330000)*0.0509+(19680+11760)*0.8+(580000-330000)*0.0225+(7800+4680)*0.8+(580000-330000)*0.0214+(8040+3720)*0.8</f>
        <v>68244</v>
      </c>
      <c r="P13" s="129">
        <f>(580000-330000)*0.0509+(19680+11760)*0.5+(580000-330000)*0.0225+(7800+4680)*0.5+(580000-330000)*0.0214+(8040+3720)*0.5</f>
        <v>51540</v>
      </c>
    </row>
    <row r="14" spans="1:20" ht="21" customHeight="1">
      <c r="B14" s="279"/>
      <c r="C14" s="229" t="s">
        <v>26</v>
      </c>
      <c r="D14" s="230"/>
      <c r="E14" s="231" t="s">
        <v>105</v>
      </c>
      <c r="F14" s="232"/>
      <c r="G14" s="235" t="s">
        <v>106</v>
      </c>
      <c r="H14" s="236"/>
      <c r="I14" s="53">
        <f>I13/12</f>
        <v>-1392</v>
      </c>
      <c r="J14" s="65" t="s">
        <v>20</v>
      </c>
      <c r="K14" s="73"/>
      <c r="L14" s="84"/>
      <c r="M14" s="10"/>
      <c r="O14" s="130">
        <f>-ROUND(SUM(O13/1000000*100),2)</f>
        <v>-6.82</v>
      </c>
      <c r="P14" s="130">
        <f>-ROUND(SUM(P13/1000000*100),2)</f>
        <v>-5.15</v>
      </c>
      <c r="S14" s="124"/>
    </row>
    <row r="15" spans="1:20" ht="21" customHeight="1">
      <c r="B15" s="277" t="s">
        <v>63</v>
      </c>
      <c r="C15" s="217" t="s">
        <v>70</v>
      </c>
      <c r="D15" s="218"/>
      <c r="E15" s="219">
        <f>O15</f>
        <v>79620</v>
      </c>
      <c r="F15" s="220"/>
      <c r="G15" s="221">
        <f>P15</f>
        <v>79620</v>
      </c>
      <c r="H15" s="222"/>
      <c r="I15" s="54">
        <f>G15-E15</f>
        <v>0</v>
      </c>
      <c r="J15" s="67" t="s">
        <v>20</v>
      </c>
      <c r="K15" s="76"/>
      <c r="L15" s="10"/>
      <c r="M15" s="10"/>
      <c r="N15" s="1">
        <v>70</v>
      </c>
      <c r="O15" s="129">
        <f>(700000-330000)*0.0509+(19680+11760)*0.8+(700000-330000)*0.0225+(7800+4680)*0.8+(700000-330000)*0.0214+(8040+3720)*0.8</f>
        <v>79620</v>
      </c>
      <c r="P15" s="129">
        <f>(700000-330000)*0.0509+(19680+11760)*0.8+(700000-330000)*0.0225+(7800+4680)*0.8+(700000-330000)*0.0214+(8040+3720)*0.8</f>
        <v>79620</v>
      </c>
      <c r="R15" s="1">
        <v>630</v>
      </c>
      <c r="S15" s="115">
        <v>26</v>
      </c>
      <c r="T15" s="120">
        <v>27</v>
      </c>
    </row>
    <row r="16" spans="1:20" ht="21" customHeight="1">
      <c r="B16" s="277"/>
      <c r="C16" s="229" t="s">
        <v>53</v>
      </c>
      <c r="D16" s="230"/>
      <c r="E16" s="231" t="s">
        <v>43</v>
      </c>
      <c r="F16" s="232"/>
      <c r="G16" s="235" t="s">
        <v>43</v>
      </c>
      <c r="H16" s="236"/>
      <c r="I16" s="53">
        <f>I15/12</f>
        <v>0</v>
      </c>
      <c r="J16" s="65" t="s">
        <v>20</v>
      </c>
      <c r="K16" s="76"/>
      <c r="L16" s="84"/>
      <c r="M16" s="10"/>
      <c r="O16" s="130">
        <f>-ROUND(SUM(O15/1000000*100),2)</f>
        <v>-7.96</v>
      </c>
      <c r="P16" s="130">
        <f>-ROUND(SUM(P15/1000000*100),2)</f>
        <v>-7.96</v>
      </c>
      <c r="R16" s="112" t="s">
        <v>35</v>
      </c>
      <c r="S16" s="117">
        <f>(6300000-330000)*0.0509+19680*2+11760</f>
        <v>354993</v>
      </c>
      <c r="T16" s="121">
        <f>(6300000-330000)*0.0509+19680*2+11760</f>
        <v>354993</v>
      </c>
    </row>
    <row r="17" spans="2:22" ht="21" customHeight="1">
      <c r="B17" s="277"/>
      <c r="C17" s="217" t="s">
        <v>75</v>
      </c>
      <c r="D17" s="218"/>
      <c r="E17" s="219">
        <f>O17</f>
        <v>99288</v>
      </c>
      <c r="F17" s="220"/>
      <c r="G17" s="221">
        <f>P17</f>
        <v>88152</v>
      </c>
      <c r="H17" s="222"/>
      <c r="I17" s="54">
        <f>G17-E17</f>
        <v>-11136</v>
      </c>
      <c r="J17" s="68" t="s">
        <v>20</v>
      </c>
      <c r="K17" s="73"/>
      <c r="L17" s="10"/>
      <c r="M17" s="10"/>
      <c r="N17" s="1">
        <v>79</v>
      </c>
      <c r="O17" s="129">
        <f>(790000-330000)*0.0509+(19680+11760)+(790000-330000)*0.0225+(7800+4680)+(790000-330000)*0.0214+(8040+3720)</f>
        <v>99288</v>
      </c>
      <c r="P17" s="129">
        <f>(790000-330000)*0.0509+(19680+11760)*0.8+(790000-330000)*0.0225+(7800+4680)*0.8+(790000-330000)*0.0214+(8040+3720)*0.8</f>
        <v>88152</v>
      </c>
      <c r="R17" s="113" t="s">
        <v>36</v>
      </c>
      <c r="S17" s="135">
        <f>(6300000-330000)*0.0225+7800*2+4680</f>
        <v>154605</v>
      </c>
      <c r="T17" s="137">
        <f>(6300000-330000)*0.0225+7800*2+4680</f>
        <v>154605</v>
      </c>
      <c r="U17" s="124"/>
    </row>
    <row r="18" spans="2:22" ht="21" customHeight="1">
      <c r="B18" s="277"/>
      <c r="C18" s="229" t="s">
        <v>26</v>
      </c>
      <c r="D18" s="230"/>
      <c r="E18" s="231" t="s">
        <v>108</v>
      </c>
      <c r="F18" s="232"/>
      <c r="G18" s="235" t="s">
        <v>109</v>
      </c>
      <c r="H18" s="236"/>
      <c r="I18" s="53">
        <f>I17/12</f>
        <v>-928</v>
      </c>
      <c r="J18" s="65" t="s">
        <v>20</v>
      </c>
      <c r="K18" s="73"/>
      <c r="L18" s="84"/>
      <c r="M18" s="10"/>
      <c r="O18" s="130">
        <f>-ROUND(SUM(O17/1000000*100),2)</f>
        <v>-9.93</v>
      </c>
      <c r="P18" s="130">
        <f>-ROUND(SUM(P17/1000000*100),2)</f>
        <v>-8.82</v>
      </c>
      <c r="R18" s="114" t="s">
        <v>40</v>
      </c>
      <c r="S18" s="119">
        <f>(6300000-330000)*0.0214+8040*2+3720</f>
        <v>147558</v>
      </c>
      <c r="T18" s="138">
        <f>(6300000-330000)*0.0214+8040*2+3720</f>
        <v>147558</v>
      </c>
      <c r="U18" s="124" t="s">
        <v>19</v>
      </c>
      <c r="V18" s="124"/>
    </row>
    <row r="19" spans="2:22" ht="21" customHeight="1">
      <c r="B19" s="8"/>
      <c r="C19" s="217" t="s">
        <v>45</v>
      </c>
      <c r="D19" s="218"/>
      <c r="E19" s="219">
        <f>O19</f>
        <v>119196</v>
      </c>
      <c r="F19" s="220"/>
      <c r="G19" s="221">
        <f>P19</f>
        <v>119196</v>
      </c>
      <c r="H19" s="222"/>
      <c r="I19" s="54">
        <f>G19-E19</f>
        <v>0</v>
      </c>
      <c r="J19" s="68" t="s">
        <v>20</v>
      </c>
      <c r="K19" s="22"/>
      <c r="N19" s="1">
        <v>100</v>
      </c>
      <c r="O19" s="131">
        <f>(1000000-330000)*0.0509+19680+11760+(1000000-330000)*0.0225+7800+4680+(1000000-330000)*0.0214+8040+3720</f>
        <v>119196</v>
      </c>
      <c r="P19" s="131">
        <f>(1000000-330000)*0.0509+19680+11760+(1000000-330000)*0.0225+7800+4680+(1000000-330000)*0.0214+8040+3720</f>
        <v>119196</v>
      </c>
      <c r="R19" s="1">
        <v>680</v>
      </c>
      <c r="S19" s="115">
        <v>26</v>
      </c>
      <c r="T19" s="120">
        <v>27</v>
      </c>
    </row>
    <row r="20" spans="2:22" ht="21" customHeight="1">
      <c r="B20" s="8"/>
      <c r="C20" s="229" t="s">
        <v>26</v>
      </c>
      <c r="D20" s="230"/>
      <c r="E20" s="231" t="s">
        <v>65</v>
      </c>
      <c r="F20" s="232"/>
      <c r="G20" s="235" t="s">
        <v>65</v>
      </c>
      <c r="H20" s="236"/>
      <c r="I20" s="53">
        <f>I19/12</f>
        <v>0</v>
      </c>
      <c r="J20" s="65" t="s">
        <v>20</v>
      </c>
      <c r="K20" s="22"/>
      <c r="O20" s="130">
        <f>-ROUND(SUM(O19/1000000*100),2)</f>
        <v>-11.92</v>
      </c>
      <c r="P20" s="130">
        <f>-ROUND(SUM(P19/1000000*100),2)</f>
        <v>-11.92</v>
      </c>
      <c r="R20" s="112" t="s">
        <v>35</v>
      </c>
      <c r="S20" s="117">
        <f>(6800000-330000)*0.0509+19680*2+11760</f>
        <v>380443</v>
      </c>
      <c r="T20" s="121">
        <f>(6800000-330000)*0.0509+19680*2+11760</f>
        <v>380443</v>
      </c>
    </row>
    <row r="21" spans="2:22" ht="21" customHeight="1">
      <c r="B21" s="278" t="s">
        <v>98</v>
      </c>
      <c r="C21" s="217" t="s">
        <v>93</v>
      </c>
      <c r="D21" s="218"/>
      <c r="E21" s="219">
        <f>O21</f>
        <v>649598</v>
      </c>
      <c r="F21" s="220"/>
      <c r="G21" s="221">
        <f>P21</f>
        <v>657156</v>
      </c>
      <c r="H21" s="222"/>
      <c r="I21" s="54">
        <f>G21-E21</f>
        <v>7558</v>
      </c>
      <c r="J21" s="69" t="s">
        <v>20</v>
      </c>
      <c r="K21" s="22"/>
      <c r="N21" s="1">
        <v>630</v>
      </c>
      <c r="O21" s="101">
        <f>S16+S17+140000</f>
        <v>649598</v>
      </c>
      <c r="P21" s="101">
        <f>T16+T17+T18</f>
        <v>657156</v>
      </c>
      <c r="R21" s="113" t="s">
        <v>36</v>
      </c>
      <c r="S21" s="118">
        <f>(6800000-330000)*0.0225+7800*2+4680</f>
        <v>165855</v>
      </c>
      <c r="T21" s="137">
        <f>(6800000-330000)*0.0225+7800*2+4680</f>
        <v>165855</v>
      </c>
      <c r="U21" s="124" t="s">
        <v>19</v>
      </c>
      <c r="V21" s="124"/>
    </row>
    <row r="22" spans="2:22" ht="21" customHeight="1">
      <c r="B22" s="279"/>
      <c r="C22" s="229" t="s">
        <v>39</v>
      </c>
      <c r="D22" s="230"/>
      <c r="E22" s="231" t="s">
        <v>97</v>
      </c>
      <c r="F22" s="232"/>
      <c r="G22" s="235" t="s">
        <v>96</v>
      </c>
      <c r="H22" s="236"/>
      <c r="I22" s="53">
        <f>I21/12</f>
        <v>629.83333333333337</v>
      </c>
      <c r="J22" s="70" t="s">
        <v>20</v>
      </c>
      <c r="K22" s="22"/>
      <c r="O22" s="132">
        <f>-ROUND(SUM(O21/6300000*100),2)</f>
        <v>-10.31</v>
      </c>
      <c r="P22" s="132">
        <f>-ROUND(SUM(P21/6300000*100),2)</f>
        <v>-10.43</v>
      </c>
      <c r="R22" s="114" t="s">
        <v>40</v>
      </c>
      <c r="S22" s="119">
        <f>(6800000-330000)*0.0214+8040*2+3720</f>
        <v>158258</v>
      </c>
      <c r="T22" s="138">
        <f>(6800000-330000)*0.0214+8040*2+3720</f>
        <v>158258</v>
      </c>
      <c r="U22" s="124" t="s">
        <v>19</v>
      </c>
      <c r="V22" s="124"/>
    </row>
    <row r="23" spans="2:22" ht="21" customHeight="1">
      <c r="B23" s="280"/>
      <c r="C23" s="217" t="s">
        <v>94</v>
      </c>
      <c r="D23" s="218"/>
      <c r="E23" s="219">
        <f>O23</f>
        <v>680443</v>
      </c>
      <c r="F23" s="220"/>
      <c r="G23" s="221">
        <f>P23</f>
        <v>704556</v>
      </c>
      <c r="H23" s="222"/>
      <c r="I23" s="54">
        <f>G23-E23</f>
        <v>24113</v>
      </c>
      <c r="J23" s="69" t="s">
        <v>20</v>
      </c>
      <c r="K23" s="22"/>
      <c r="N23" s="1">
        <v>680</v>
      </c>
      <c r="O23" s="133">
        <f>S20+160000+140000</f>
        <v>680443</v>
      </c>
      <c r="P23" s="133">
        <f>T20+T21+T22</f>
        <v>704556</v>
      </c>
      <c r="R23" s="1">
        <v>700</v>
      </c>
      <c r="S23" s="115">
        <v>26</v>
      </c>
      <c r="T23" s="120">
        <v>27</v>
      </c>
    </row>
    <row r="24" spans="2:22" ht="21" customHeight="1">
      <c r="B24" s="281"/>
      <c r="C24" s="229" t="s">
        <v>39</v>
      </c>
      <c r="D24" s="230"/>
      <c r="E24" s="231" t="s">
        <v>95</v>
      </c>
      <c r="F24" s="232"/>
      <c r="G24" s="233">
        <v>0.1036</v>
      </c>
      <c r="H24" s="234"/>
      <c r="I24" s="53">
        <f>I23/12</f>
        <v>2009.4166666666667</v>
      </c>
      <c r="J24" s="70" t="s">
        <v>20</v>
      </c>
      <c r="K24" s="22"/>
      <c r="O24" s="134">
        <f>-ROUND(SUM(O23/6800000*100),2)</f>
        <v>-10.01</v>
      </c>
      <c r="P24" s="134">
        <f>-ROUND(SUM(P23/6800000*100),2)</f>
        <v>-10.36</v>
      </c>
      <c r="R24" s="112" t="s">
        <v>35</v>
      </c>
      <c r="S24" s="117">
        <f>(7000000-330000)*0.0509+19680*2+11760</f>
        <v>390623</v>
      </c>
      <c r="T24" s="121">
        <f>(7000000-330000)*0.0509+19680*2+11760</f>
        <v>390623</v>
      </c>
    </row>
    <row r="25" spans="2:22" ht="21" customHeight="1">
      <c r="B25" s="210" t="s">
        <v>99</v>
      </c>
      <c r="C25" s="217" t="s">
        <v>91</v>
      </c>
      <c r="D25" s="218"/>
      <c r="E25" s="219">
        <f>O25</f>
        <v>690623</v>
      </c>
      <c r="F25" s="220"/>
      <c r="G25" s="221">
        <f>P25</f>
        <v>720623</v>
      </c>
      <c r="H25" s="222"/>
      <c r="I25" s="54">
        <f>G25-E25</f>
        <v>30000</v>
      </c>
      <c r="J25" s="69" t="s">
        <v>20</v>
      </c>
      <c r="N25" s="1">
        <v>700</v>
      </c>
      <c r="O25" s="133">
        <f>S24+160000+140000</f>
        <v>690623</v>
      </c>
      <c r="P25" s="133">
        <f>T24+170000+160000</f>
        <v>720623</v>
      </c>
      <c r="R25" s="113" t="s">
        <v>36</v>
      </c>
      <c r="S25" s="118">
        <f>(7000000-330000)*0.0225+7800*2+4680</f>
        <v>170355</v>
      </c>
      <c r="T25" s="122">
        <f>(7000000-330000)*0.0225+7800*2+4680</f>
        <v>170355</v>
      </c>
      <c r="U25" s="124" t="s">
        <v>19</v>
      </c>
      <c r="V25" s="124" t="s">
        <v>19</v>
      </c>
    </row>
    <row r="26" spans="2:22" ht="21" customHeight="1">
      <c r="B26" s="209"/>
      <c r="C26" s="229" t="s">
        <v>39</v>
      </c>
      <c r="D26" s="230"/>
      <c r="E26" s="231" t="s">
        <v>101</v>
      </c>
      <c r="F26" s="232"/>
      <c r="G26" s="235" t="s">
        <v>9</v>
      </c>
      <c r="H26" s="236"/>
      <c r="I26" s="53">
        <f>I25/12</f>
        <v>2500</v>
      </c>
      <c r="J26" s="70" t="s">
        <v>20</v>
      </c>
      <c r="O26" s="134">
        <f>-ROUND(SUM(O25/7000000*100),2)</f>
        <v>-9.8699999999999992</v>
      </c>
      <c r="P26" s="134">
        <f>-ROUND(SUM(P25/7000000*100),2)</f>
        <v>-10.29</v>
      </c>
      <c r="R26" s="114" t="s">
        <v>40</v>
      </c>
      <c r="S26" s="119">
        <f>(7000000-330000)*0.0214+8040*2+3720</f>
        <v>162538</v>
      </c>
      <c r="T26" s="123">
        <f>(7000000-330000)*0.0214+8040*2+3720</f>
        <v>162538</v>
      </c>
      <c r="U26" s="124" t="s">
        <v>19</v>
      </c>
      <c r="V26" s="124" t="s">
        <v>19</v>
      </c>
    </row>
    <row r="27" spans="2:22" ht="21" customHeight="1">
      <c r="B27" s="208" t="s">
        <v>59</v>
      </c>
      <c r="C27" s="303" t="s">
        <v>16</v>
      </c>
      <c r="D27" s="257"/>
      <c r="E27" s="304">
        <f>O30</f>
        <v>810000</v>
      </c>
      <c r="F27" s="305"/>
      <c r="G27" s="306">
        <f>P30</f>
        <v>850000</v>
      </c>
      <c r="H27" s="307"/>
      <c r="I27" s="54">
        <f>G27-E27</f>
        <v>40000</v>
      </c>
      <c r="J27" s="125" t="s">
        <v>20</v>
      </c>
      <c r="N27" s="1">
        <v>960</v>
      </c>
      <c r="O27" s="133">
        <f>S28+S29+S30</f>
        <v>969996</v>
      </c>
      <c r="P27" s="133">
        <f>T28+T29+T30</f>
        <v>969996</v>
      </c>
      <c r="R27" s="1">
        <v>960</v>
      </c>
      <c r="S27" s="115">
        <v>26</v>
      </c>
      <c r="T27" s="120">
        <v>27</v>
      </c>
    </row>
    <row r="28" spans="2:22" ht="21" customHeight="1">
      <c r="B28" s="208"/>
      <c r="C28" s="223" t="s">
        <v>39</v>
      </c>
      <c r="D28" s="224"/>
      <c r="E28" s="225" t="s">
        <v>103</v>
      </c>
      <c r="F28" s="226"/>
      <c r="G28" s="227" t="s">
        <v>104</v>
      </c>
      <c r="H28" s="228"/>
      <c r="I28" s="55">
        <f>I27/12</f>
        <v>3333.3333333333335</v>
      </c>
      <c r="J28" s="71" t="s">
        <v>20</v>
      </c>
      <c r="O28" s="102">
        <f>-ROUND(SUM(O27/9600000*100),2)</f>
        <v>-10.1</v>
      </c>
      <c r="P28" s="102">
        <f>-ROUND(SUM(P27/9600000*100),2)</f>
        <v>-10.1</v>
      </c>
      <c r="R28" s="112" t="s">
        <v>35</v>
      </c>
      <c r="S28" s="136">
        <f>(9600000-330000)*0.0509+19680*2+11760</f>
        <v>522963</v>
      </c>
      <c r="T28" s="139">
        <f>(9600000-330000)*0.0509+19680*2+11760</f>
        <v>522963</v>
      </c>
      <c r="U28" s="124" t="s">
        <v>19</v>
      </c>
      <c r="V28" s="124" t="s">
        <v>19</v>
      </c>
    </row>
    <row r="29" spans="2:22">
      <c r="O29" s="104" t="s">
        <v>41</v>
      </c>
      <c r="P29" s="104" t="s">
        <v>41</v>
      </c>
      <c r="R29" s="113" t="s">
        <v>36</v>
      </c>
      <c r="S29" s="118">
        <f>(9600000-330000)*0.0225+7800*2+4680</f>
        <v>228855</v>
      </c>
      <c r="T29" s="122">
        <f>(9600000-330000)*0.0225+7800*2+4680</f>
        <v>228855</v>
      </c>
      <c r="U29" s="124" t="s">
        <v>19</v>
      </c>
      <c r="V29" s="124" t="s">
        <v>19</v>
      </c>
    </row>
    <row r="30" spans="2:22" ht="17.25" customHeight="1">
      <c r="B30" s="6" t="s">
        <v>89</v>
      </c>
      <c r="G30" s="41"/>
      <c r="H30" s="41"/>
      <c r="O30" s="110">
        <f>510000+160000+140000</f>
        <v>810000</v>
      </c>
      <c r="P30" s="110">
        <f>520000+170000+160000</f>
        <v>850000</v>
      </c>
      <c r="R30" s="114" t="s">
        <v>40</v>
      </c>
      <c r="S30" s="119">
        <f>(9600000-330000)*0.0214+8040*2+3720</f>
        <v>218178</v>
      </c>
      <c r="T30" s="123">
        <f>(9600000-330000)*0.0214+8040*2+3720</f>
        <v>218178</v>
      </c>
      <c r="U30" s="124" t="s">
        <v>19</v>
      </c>
      <c r="V30" s="124" t="s">
        <v>19</v>
      </c>
    </row>
    <row r="31" spans="2:22" ht="7.5" customHeight="1">
      <c r="G31" s="41"/>
      <c r="H31" s="41"/>
    </row>
    <row r="32" spans="2:22" ht="39" customHeight="1">
      <c r="B32" s="295" t="s">
        <v>76</v>
      </c>
      <c r="C32" s="296"/>
      <c r="D32" s="297"/>
      <c r="E32" s="308" t="s">
        <v>77</v>
      </c>
      <c r="F32" s="309"/>
      <c r="G32" s="310" t="s">
        <v>78</v>
      </c>
      <c r="H32" s="311"/>
      <c r="I32" s="293" t="s">
        <v>79</v>
      </c>
      <c r="J32" s="294"/>
      <c r="O32" s="106">
        <f>-ROUND(SUM(O30/9600000*100),2)</f>
        <v>-8.44</v>
      </c>
      <c r="P32" s="111">
        <f>-ROUND(SUM(P30/9600000*100),2)</f>
        <v>-8.85</v>
      </c>
    </row>
    <row r="33" spans="2:10" ht="30" customHeight="1">
      <c r="B33" s="295" t="s">
        <v>8</v>
      </c>
      <c r="C33" s="296"/>
      <c r="D33" s="297"/>
      <c r="E33" s="298">
        <v>0.14499999999999999</v>
      </c>
      <c r="F33" s="299"/>
      <c r="G33" s="298">
        <v>0.192</v>
      </c>
      <c r="H33" s="300"/>
      <c r="I33" s="301">
        <f t="shared" ref="I33:I40" si="0">G33-E33</f>
        <v>4.7000000000000014E-2</v>
      </c>
      <c r="J33" s="302"/>
    </row>
    <row r="34" spans="2:10" ht="30" customHeight="1">
      <c r="B34" s="282" t="s">
        <v>81</v>
      </c>
      <c r="C34" s="283"/>
      <c r="D34" s="284"/>
      <c r="E34" s="285">
        <v>0.111</v>
      </c>
      <c r="F34" s="286"/>
      <c r="G34" s="285">
        <v>0.13800000000000001</v>
      </c>
      <c r="H34" s="287"/>
      <c r="I34" s="288">
        <f t="shared" si="0"/>
        <v>2.700000000000001E-2</v>
      </c>
      <c r="J34" s="289"/>
    </row>
    <row r="35" spans="2:10" ht="30" customHeight="1">
      <c r="B35" s="282" t="s">
        <v>82</v>
      </c>
      <c r="C35" s="283"/>
      <c r="D35" s="284"/>
      <c r="E35" s="285">
        <v>0.161</v>
      </c>
      <c r="F35" s="286"/>
      <c r="G35" s="285">
        <v>0.13800000000000001</v>
      </c>
      <c r="H35" s="287"/>
      <c r="I35" s="288">
        <f t="shared" si="0"/>
        <v>-2.2999999999999993E-2</v>
      </c>
      <c r="J35" s="289"/>
    </row>
    <row r="36" spans="2:10" ht="30" customHeight="1">
      <c r="B36" s="282" t="s">
        <v>83</v>
      </c>
      <c r="C36" s="283"/>
      <c r="D36" s="284"/>
      <c r="E36" s="285">
        <v>0.23499999999999999</v>
      </c>
      <c r="F36" s="286"/>
      <c r="G36" s="285">
        <v>0.218</v>
      </c>
      <c r="H36" s="287"/>
      <c r="I36" s="288">
        <f t="shared" si="0"/>
        <v>-1.6999999999999987E-2</v>
      </c>
      <c r="J36" s="289"/>
    </row>
    <row r="37" spans="2:10" ht="30" customHeight="1">
      <c r="B37" s="282" t="s">
        <v>84</v>
      </c>
      <c r="C37" s="283"/>
      <c r="D37" s="284"/>
      <c r="E37" s="285">
        <v>0.125</v>
      </c>
      <c r="F37" s="286"/>
      <c r="G37" s="285">
        <v>0.112</v>
      </c>
      <c r="H37" s="287"/>
      <c r="I37" s="288">
        <f t="shared" si="0"/>
        <v>-1.2999999999999998E-2</v>
      </c>
      <c r="J37" s="289"/>
    </row>
    <row r="38" spans="2:10" ht="30" customHeight="1">
      <c r="B38" s="282" t="s">
        <v>86</v>
      </c>
      <c r="C38" s="283"/>
      <c r="D38" s="284"/>
      <c r="E38" s="285">
        <v>5.8000000000000003E-2</v>
      </c>
      <c r="F38" s="286"/>
      <c r="G38" s="285">
        <v>5.1999999999999998E-2</v>
      </c>
      <c r="H38" s="287"/>
      <c r="I38" s="288">
        <f t="shared" si="0"/>
        <v>-6.0000000000000053E-3</v>
      </c>
      <c r="J38" s="289"/>
    </row>
    <row r="39" spans="2:10" ht="30" customHeight="1">
      <c r="B39" s="282" t="s">
        <v>87</v>
      </c>
      <c r="C39" s="283"/>
      <c r="D39" s="284"/>
      <c r="E39" s="285">
        <v>4.9000000000000002E-2</v>
      </c>
      <c r="F39" s="286"/>
      <c r="G39" s="285">
        <v>4.1000000000000002E-2</v>
      </c>
      <c r="H39" s="287"/>
      <c r="I39" s="288">
        <f t="shared" si="0"/>
        <v>-8.0000000000000002E-3</v>
      </c>
      <c r="J39" s="289"/>
    </row>
    <row r="40" spans="2:10" ht="30" customHeight="1">
      <c r="B40" s="268" t="s">
        <v>71</v>
      </c>
      <c r="C40" s="269"/>
      <c r="D40" s="270"/>
      <c r="E40" s="290">
        <v>0.11600000000000001</v>
      </c>
      <c r="F40" s="291"/>
      <c r="G40" s="290">
        <v>0.109</v>
      </c>
      <c r="H40" s="292"/>
      <c r="I40" s="275">
        <f t="shared" si="0"/>
        <v>-7.0000000000000062E-3</v>
      </c>
      <c r="J40" s="276"/>
    </row>
    <row r="41" spans="2:10" ht="30" customHeight="1">
      <c r="B41" s="268" t="s">
        <v>88</v>
      </c>
      <c r="C41" s="269"/>
      <c r="D41" s="270"/>
      <c r="E41" s="271">
        <f>SUM(E33:E40)</f>
        <v>1.0000000000000002</v>
      </c>
      <c r="F41" s="272"/>
      <c r="G41" s="273">
        <f>SUM(G33:G40)</f>
        <v>1.0000000000000002</v>
      </c>
      <c r="H41" s="274"/>
      <c r="I41" s="275">
        <f>SUM(I33:I40)</f>
        <v>3.4694469519536142E-17</v>
      </c>
      <c r="J41" s="276"/>
    </row>
    <row r="42" spans="2:10" ht="21" customHeight="1">
      <c r="C42" s="1"/>
      <c r="D42" s="1"/>
    </row>
    <row r="43" spans="2:10" ht="21" customHeight="1">
      <c r="C43" s="1"/>
      <c r="D43" s="1"/>
    </row>
    <row r="45" spans="2:10">
      <c r="C45" s="1"/>
      <c r="D45" s="1"/>
    </row>
    <row r="46" spans="2:10">
      <c r="C46" s="1"/>
      <c r="D46" s="1"/>
    </row>
    <row r="47" spans="2:10">
      <c r="C47" s="1"/>
      <c r="D47" s="1"/>
    </row>
    <row r="48" spans="2:10">
      <c r="C48" s="1"/>
      <c r="D48" s="1"/>
    </row>
    <row r="49" spans="3:4">
      <c r="C49" s="1"/>
      <c r="D49" s="1"/>
    </row>
    <row r="50" spans="3:4">
      <c r="C50" s="1"/>
      <c r="D50" s="1"/>
    </row>
    <row r="51" spans="3:4">
      <c r="C51" s="1"/>
      <c r="D51" s="1"/>
    </row>
    <row r="52" spans="3:4">
      <c r="C52" s="1"/>
      <c r="D52" s="1"/>
    </row>
    <row r="53" spans="3:4">
      <c r="C53" s="1"/>
      <c r="D53" s="1"/>
    </row>
    <row r="54" spans="3:4">
      <c r="C54" s="1"/>
      <c r="D54" s="1"/>
    </row>
    <row r="55" spans="3:4">
      <c r="C55" s="1"/>
      <c r="D55" s="1"/>
    </row>
  </sheetData>
  <mergeCells count="120">
    <mergeCell ref="A2:M2"/>
    <mergeCell ref="C6:D6"/>
    <mergeCell ref="E6:F6"/>
    <mergeCell ref="G6:H6"/>
    <mergeCell ref="I6:J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B32:D32"/>
    <mergeCell ref="E32:F32"/>
    <mergeCell ref="G32:H32"/>
    <mergeCell ref="I32:J32"/>
    <mergeCell ref="B33:D33"/>
    <mergeCell ref="E33:F33"/>
    <mergeCell ref="G33:H33"/>
    <mergeCell ref="I33:J33"/>
    <mergeCell ref="B34:D34"/>
    <mergeCell ref="E34:F34"/>
    <mergeCell ref="G34:H34"/>
    <mergeCell ref="I34:J34"/>
    <mergeCell ref="I40:J40"/>
    <mergeCell ref="B35:D35"/>
    <mergeCell ref="E35:F35"/>
    <mergeCell ref="G35:H35"/>
    <mergeCell ref="I35:J35"/>
    <mergeCell ref="B36:D36"/>
    <mergeCell ref="E36:F36"/>
    <mergeCell ref="G36:H36"/>
    <mergeCell ref="I36:J36"/>
    <mergeCell ref="B37:D37"/>
    <mergeCell ref="E37:F37"/>
    <mergeCell ref="G37:H37"/>
    <mergeCell ref="I37:J37"/>
    <mergeCell ref="B41:D41"/>
    <mergeCell ref="E41:F41"/>
    <mergeCell ref="G41:H41"/>
    <mergeCell ref="I41:J41"/>
    <mergeCell ref="B7:B10"/>
    <mergeCell ref="B11:B12"/>
    <mergeCell ref="B13:B14"/>
    <mergeCell ref="B15:B16"/>
    <mergeCell ref="B17:B18"/>
    <mergeCell ref="B21:B22"/>
    <mergeCell ref="B23:B24"/>
    <mergeCell ref="B25:B26"/>
    <mergeCell ref="B27:B28"/>
    <mergeCell ref="B38:D38"/>
    <mergeCell ref="E38:F38"/>
    <mergeCell ref="G38:H38"/>
    <mergeCell ref="I38:J38"/>
    <mergeCell ref="B39:D39"/>
    <mergeCell ref="E39:F39"/>
    <mergeCell ref="G39:H39"/>
    <mergeCell ref="I39:J39"/>
    <mergeCell ref="B40:D40"/>
    <mergeCell ref="E40:F40"/>
    <mergeCell ref="G40:H40"/>
  </mergeCells>
  <phoneticPr fontId="2"/>
  <printOptions horizontalCentered="1"/>
  <pageMargins left="0.59055118110236227" right="0.59055118110236227" top="0.74803149606299213" bottom="0.78740157480314965" header="0.31496062992125984" footer="0.31496062992125984"/>
  <pageSetup paperSize="9" scale="75" orientation="portrait" r:id="rId1"/>
  <headerFooter>
    <oddFooter xml:space="preserve">&amp;C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  <pageSetUpPr fitToPage="1"/>
  </sheetPr>
  <dimension ref="A1:T55"/>
  <sheetViews>
    <sheetView view="pageBreakPreview" zoomScaleNormal="70" zoomScaleSheetLayoutView="100" workbookViewId="0">
      <selection activeCell="O33" sqref="O33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4.375" style="1" customWidth="1"/>
    <col min="10" max="10" width="2.75" style="1" customWidth="1"/>
    <col min="11" max="11" width="3.875" style="2" customWidth="1"/>
    <col min="12" max="12" width="16.875" style="1" customWidth="1"/>
    <col min="13" max="14" width="12.125" style="1" bestFit="1" customWidth="1"/>
    <col min="15" max="15" width="9" style="1" customWidth="1"/>
    <col min="16" max="16" width="9.5" style="1" bestFit="1" customWidth="1"/>
    <col min="17" max="17" width="10.375" style="1" customWidth="1"/>
    <col min="18" max="18" width="10.5" style="1" bestFit="1" customWidth="1"/>
    <col min="19" max="19" width="9" style="1" customWidth="1"/>
    <col min="20" max="16384" width="9" style="1"/>
  </cols>
  <sheetData>
    <row r="1" spans="1:18" ht="4.5" customHeight="1"/>
    <row r="2" spans="1:18" ht="27" customHeight="1">
      <c r="B2" s="140" t="s">
        <v>121</v>
      </c>
      <c r="C2" s="141"/>
      <c r="D2" s="141"/>
      <c r="E2" s="141"/>
      <c r="F2" s="141"/>
      <c r="G2" s="141"/>
      <c r="H2" s="141"/>
      <c r="I2" s="142" t="s">
        <v>123</v>
      </c>
      <c r="J2" s="141"/>
      <c r="K2" s="141"/>
    </row>
    <row r="3" spans="1:18" ht="11.25" customHeight="1">
      <c r="A3" s="3"/>
      <c r="B3" s="5"/>
      <c r="C3" s="10"/>
      <c r="D3" s="10"/>
      <c r="E3" s="22"/>
      <c r="F3" s="22"/>
      <c r="G3" s="40"/>
      <c r="H3" s="40"/>
      <c r="I3" s="22"/>
      <c r="J3" s="22"/>
      <c r="K3" s="10"/>
    </row>
    <row r="4" spans="1:18" ht="17.25">
      <c r="B4" s="322" t="s">
        <v>120</v>
      </c>
      <c r="C4" s="322"/>
      <c r="D4" s="322"/>
      <c r="E4" s="322"/>
      <c r="F4" s="322"/>
      <c r="G4" s="322"/>
      <c r="H4" s="322"/>
      <c r="I4" s="322"/>
      <c r="J4" s="322"/>
      <c r="M4" s="1" t="s">
        <v>118</v>
      </c>
    </row>
    <row r="5" spans="1:18" ht="7.5" customHeight="1">
      <c r="G5" s="41"/>
      <c r="H5" s="41"/>
    </row>
    <row r="6" spans="1:18" ht="39" customHeight="1">
      <c r="B6" s="7"/>
      <c r="C6" s="245" t="s">
        <v>25</v>
      </c>
      <c r="D6" s="246"/>
      <c r="E6" s="247" t="s">
        <v>135</v>
      </c>
      <c r="F6" s="248"/>
      <c r="G6" s="332" t="s">
        <v>136</v>
      </c>
      <c r="H6" s="333"/>
      <c r="I6" s="334" t="s">
        <v>60</v>
      </c>
      <c r="J6" s="335"/>
      <c r="K6" s="126"/>
      <c r="M6" s="93">
        <v>27</v>
      </c>
      <c r="N6" s="93">
        <v>28</v>
      </c>
    </row>
    <row r="7" spans="1:18" ht="21" customHeight="1">
      <c r="B7" s="215" t="s">
        <v>73</v>
      </c>
      <c r="C7" s="238" t="s">
        <v>52</v>
      </c>
      <c r="D7" s="239"/>
      <c r="E7" s="240">
        <f>$M7</f>
        <v>16704</v>
      </c>
      <c r="F7" s="241"/>
      <c r="G7" s="336">
        <f>N7</f>
        <v>17280</v>
      </c>
      <c r="H7" s="337"/>
      <c r="I7" s="143">
        <f>G7-E7</f>
        <v>576</v>
      </c>
      <c r="J7" s="147" t="s">
        <v>20</v>
      </c>
      <c r="K7" s="91"/>
      <c r="L7" s="124">
        <v>0</v>
      </c>
      <c r="M7" s="131">
        <f>($M$34+$M$35)*0.3+($M$37+$M$38)*0.3+($M$40+$M$41)*0.3</f>
        <v>16704</v>
      </c>
      <c r="N7" s="131">
        <f>($N$34+$N$35)*0.3+($N$37+$N$38)*0.3+($N$40+$N$41)*0.3</f>
        <v>17280</v>
      </c>
      <c r="P7" s="116"/>
      <c r="Q7" s="116"/>
    </row>
    <row r="8" spans="1:18" ht="21" customHeight="1">
      <c r="B8" s="216"/>
      <c r="C8" s="229" t="s">
        <v>26</v>
      </c>
      <c r="D8" s="312"/>
      <c r="E8" s="326">
        <f t="shared" ref="E8:E28" si="0">M8</f>
        <v>-1.67</v>
      </c>
      <c r="F8" s="327"/>
      <c r="G8" s="328">
        <f>$N8</f>
        <v>-1.73</v>
      </c>
      <c r="H8" s="329"/>
      <c r="I8" s="144">
        <f>I7/12</f>
        <v>48</v>
      </c>
      <c r="J8" s="148" t="s">
        <v>20</v>
      </c>
      <c r="K8" s="91"/>
      <c r="L8" s="124"/>
      <c r="M8" s="130">
        <f>-ROUND(SUM(M7/1000000*100),2)</f>
        <v>-1.67</v>
      </c>
      <c r="N8" s="130">
        <f>-ROUND(SUM(N7/1000000*100),2)</f>
        <v>-1.73</v>
      </c>
      <c r="P8" s="116"/>
      <c r="Q8" s="116"/>
    </row>
    <row r="9" spans="1:18" ht="21" customHeight="1">
      <c r="B9" s="216"/>
      <c r="C9" s="217" t="s">
        <v>13</v>
      </c>
      <c r="D9" s="218"/>
      <c r="E9" s="219">
        <f t="shared" si="0"/>
        <v>16704</v>
      </c>
      <c r="F9" s="220"/>
      <c r="G9" s="330">
        <f>N9</f>
        <v>17280</v>
      </c>
      <c r="H9" s="331"/>
      <c r="I9" s="145">
        <f>G9-E9</f>
        <v>576</v>
      </c>
      <c r="J9" s="149" t="s">
        <v>20</v>
      </c>
      <c r="K9" s="10"/>
      <c r="L9" s="124">
        <v>330000</v>
      </c>
      <c r="M9" s="131">
        <f>($L$9-330000)*$M$33+($M$34+$M$35)*0.3+($L$9-330000)*$M$36+($M$37+$M$38)*0.3+($L$9-330000)*$M$39+($M$40+$M$41)*0.3</f>
        <v>16704</v>
      </c>
      <c r="N9" s="131">
        <f>($L$9-330000)*$N$33+($N$34+$N$35)*0.3+($L$9-330000)*$N$36+($N$37+$N$38)*0.3+($L$9-330000)*$N$39+($N$40+$N$41)*0.3</f>
        <v>17280</v>
      </c>
      <c r="P9" s="116"/>
      <c r="Q9" s="116"/>
    </row>
    <row r="10" spans="1:18" ht="21" customHeight="1">
      <c r="B10" s="216"/>
      <c r="C10" s="229" t="s">
        <v>53</v>
      </c>
      <c r="D10" s="312"/>
      <c r="E10" s="326">
        <f t="shared" si="0"/>
        <v>-1.67</v>
      </c>
      <c r="F10" s="327"/>
      <c r="G10" s="328">
        <f>$N10</f>
        <v>-1.73</v>
      </c>
      <c r="H10" s="329"/>
      <c r="I10" s="144">
        <f>I9/12</f>
        <v>48</v>
      </c>
      <c r="J10" s="149" t="s">
        <v>20</v>
      </c>
      <c r="K10" s="10"/>
      <c r="L10" s="124"/>
      <c r="M10" s="130">
        <f>-ROUND(SUM(M9/1000000*100),2)</f>
        <v>-1.67</v>
      </c>
      <c r="N10" s="130">
        <f>-ROUND(SUM(N9/1000000*100),2)</f>
        <v>-1.73</v>
      </c>
      <c r="P10" s="116"/>
      <c r="Q10" s="116"/>
    </row>
    <row r="11" spans="1:18" ht="21" customHeight="1">
      <c r="B11" s="209" t="s">
        <v>67</v>
      </c>
      <c r="C11" s="217" t="s">
        <v>137</v>
      </c>
      <c r="D11" s="218"/>
      <c r="E11" s="219">
        <f t="shared" si="0"/>
        <v>52488</v>
      </c>
      <c r="F11" s="220"/>
      <c r="G11" s="330">
        <f>N11</f>
        <v>54072</v>
      </c>
      <c r="H11" s="331"/>
      <c r="I11" s="145">
        <f>G11-E11</f>
        <v>1584</v>
      </c>
      <c r="J11" s="150" t="s">
        <v>20</v>
      </c>
      <c r="K11" s="10"/>
      <c r="L11" s="124">
        <v>590000</v>
      </c>
      <c r="M11" s="131">
        <f>($L$11-330000)*$M$33+($M$34+$M$35)*0.5+($L$11-330000)*$M$36+($M$37+$M$38)*0.5+($L$11-330000)*$M$39+($M$40+$M$41)*0.5</f>
        <v>52488</v>
      </c>
      <c r="N11" s="131">
        <f>($L$11-330000)*$N$33+($N$34+$N$35)*0.5+($L$11-330000)*$N$36+($N$37+$N$38)*0.5+($L$11-330000)*$N$39+($N$40+$N$41)*0.5</f>
        <v>54072</v>
      </c>
      <c r="P11" s="116"/>
      <c r="Q11" s="116"/>
    </row>
    <row r="12" spans="1:18" ht="21" customHeight="1">
      <c r="B12" s="277"/>
      <c r="C12" s="229" t="s">
        <v>53</v>
      </c>
      <c r="D12" s="230"/>
      <c r="E12" s="326">
        <f t="shared" si="0"/>
        <v>-5.25</v>
      </c>
      <c r="F12" s="327"/>
      <c r="G12" s="328">
        <f>$N12</f>
        <v>-5.41</v>
      </c>
      <c r="H12" s="329"/>
      <c r="I12" s="144">
        <f>I11/12</f>
        <v>132</v>
      </c>
      <c r="J12" s="148" t="s">
        <v>20</v>
      </c>
      <c r="K12" s="10"/>
      <c r="L12" s="124"/>
      <c r="M12" s="130">
        <f>-ROUND(SUM(M11/1000000*100),2)</f>
        <v>-5.25</v>
      </c>
      <c r="N12" s="130">
        <f>-ROUND(SUM(N11/1000000*100),2)</f>
        <v>-5.41</v>
      </c>
    </row>
    <row r="13" spans="1:18" ht="21" customHeight="1">
      <c r="B13" s="278"/>
      <c r="C13" s="217" t="s">
        <v>138</v>
      </c>
      <c r="D13" s="218"/>
      <c r="E13" s="219">
        <f t="shared" si="0"/>
        <v>69666</v>
      </c>
      <c r="F13" s="220"/>
      <c r="G13" s="330">
        <f>N13</f>
        <v>54558</v>
      </c>
      <c r="H13" s="331"/>
      <c r="I13" s="145">
        <f>G13-E13</f>
        <v>-15108</v>
      </c>
      <c r="J13" s="151" t="s">
        <v>20</v>
      </c>
      <c r="K13" s="10"/>
      <c r="L13" s="124">
        <v>595000</v>
      </c>
      <c r="M13" s="131">
        <f>($L$13-330000)*$M$33+($M$34+$M$35)*0.8+($L$13-330000)*$M$36+($M$37+$M$38)*0.8+($L$13-330000)*$M$39+($M$40+$M$41)*0.8</f>
        <v>69666</v>
      </c>
      <c r="N13" s="131">
        <f>($L$13-330000)*$N$33+($N$34+$N$35)*0.5+($L$13-330000)*$N$36+($N$37+$N$38)*0.5+($L$13-330000)*$N$39+($N$40+$N$41)*0.5</f>
        <v>54558</v>
      </c>
    </row>
    <row r="14" spans="1:18" ht="21" customHeight="1">
      <c r="B14" s="279"/>
      <c r="C14" s="229" t="s">
        <v>26</v>
      </c>
      <c r="D14" s="230"/>
      <c r="E14" s="326">
        <f t="shared" si="0"/>
        <v>-6.97</v>
      </c>
      <c r="F14" s="327"/>
      <c r="G14" s="328">
        <f>$N14</f>
        <v>-5.46</v>
      </c>
      <c r="H14" s="329"/>
      <c r="I14" s="144">
        <f>I13/12</f>
        <v>-1259</v>
      </c>
      <c r="J14" s="148" t="s">
        <v>20</v>
      </c>
      <c r="K14" s="10"/>
      <c r="L14" s="124"/>
      <c r="M14" s="130">
        <f>-ROUND(SUM(M13/1000000*100),2)</f>
        <v>-6.97</v>
      </c>
      <c r="N14" s="130">
        <f>-ROUND(SUM(N13/1000000*100),2)</f>
        <v>-5.46</v>
      </c>
      <c r="Q14" s="124"/>
    </row>
    <row r="15" spans="1:18" ht="21" customHeight="1">
      <c r="B15" s="277" t="s">
        <v>63</v>
      </c>
      <c r="C15" s="217" t="s">
        <v>139</v>
      </c>
      <c r="D15" s="218"/>
      <c r="E15" s="219">
        <f t="shared" si="0"/>
        <v>89100</v>
      </c>
      <c r="F15" s="220"/>
      <c r="G15" s="330">
        <f>N15</f>
        <v>91764</v>
      </c>
      <c r="H15" s="331"/>
      <c r="I15" s="145">
        <f>G15-E15</f>
        <v>2664</v>
      </c>
      <c r="J15" s="150" t="s">
        <v>20</v>
      </c>
      <c r="K15" s="10"/>
      <c r="L15" s="124">
        <v>800000</v>
      </c>
      <c r="M15" s="131">
        <f>($L$15-330000)*$M$33+($M$34+$M$35)*0.8+($L$15-330000)*$M$36+($M$37+$M$38)*0.8+($L$15-330000)*$M$39+($M$40+$M$41)*0.8</f>
        <v>89100</v>
      </c>
      <c r="N15" s="131">
        <f>($L$15-330000)*$N$33+($N$34+$N$35)*0.8+($L$15-330000)*$N$36+($N$37+$N$38)*0.8+($L$15-330000)*$N$39+($N$40+$N$41)*0.8</f>
        <v>91764</v>
      </c>
      <c r="P15" s="124">
        <v>6900000</v>
      </c>
      <c r="Q15" s="115">
        <v>27</v>
      </c>
      <c r="R15" s="120">
        <v>28</v>
      </c>
    </row>
    <row r="16" spans="1:18" ht="21" customHeight="1">
      <c r="B16" s="277"/>
      <c r="C16" s="229" t="s">
        <v>53</v>
      </c>
      <c r="D16" s="230"/>
      <c r="E16" s="326">
        <f t="shared" si="0"/>
        <v>-8.91</v>
      </c>
      <c r="F16" s="327"/>
      <c r="G16" s="328">
        <f>$N16</f>
        <v>-9.18</v>
      </c>
      <c r="H16" s="329"/>
      <c r="I16" s="144">
        <f>I15/12</f>
        <v>222</v>
      </c>
      <c r="J16" s="148" t="s">
        <v>20</v>
      </c>
      <c r="K16" s="10"/>
      <c r="L16" s="124"/>
      <c r="M16" s="130">
        <f>-ROUND(SUM(M15/1000000*100),2)</f>
        <v>-8.91</v>
      </c>
      <c r="N16" s="130">
        <f>-ROUND(SUM(N15/1000000*100),2)</f>
        <v>-9.18</v>
      </c>
      <c r="P16" s="112" t="s">
        <v>35</v>
      </c>
      <c r="Q16" s="159">
        <f>IF((($P$15-330000)*$M$33+$M$34*2+$M$35)&lt;$Q$33,($P$15-330000)*$M$33+$M$34*2+$M$35,$Q$33)</f>
        <v>385533</v>
      </c>
      <c r="R16" s="159">
        <f>IF((($P$15-330000)*$N$33+$N$34*2+$N$35)&lt;$R$33,($P$15-330000)*$N$33+$N$34*2+$N$35,$R$33)</f>
        <v>404901</v>
      </c>
    </row>
    <row r="17" spans="2:20" ht="21" customHeight="1">
      <c r="B17" s="277"/>
      <c r="C17" s="217" t="s">
        <v>140</v>
      </c>
      <c r="D17" s="218"/>
      <c r="E17" s="219">
        <f t="shared" si="0"/>
        <v>101184</v>
      </c>
      <c r="F17" s="220"/>
      <c r="G17" s="330">
        <f>N17</f>
        <v>92736</v>
      </c>
      <c r="H17" s="331"/>
      <c r="I17" s="145">
        <f>G17-E17</f>
        <v>-8448</v>
      </c>
      <c r="J17" s="151" t="s">
        <v>20</v>
      </c>
      <c r="K17" s="10"/>
      <c r="L17" s="124">
        <v>810000</v>
      </c>
      <c r="M17" s="131">
        <f>($L$17-330000)*$M$33+($M$34+$M$35)+($L$17-330000)*$M$36+($M$37+$M$38)+($L$17-330000)*$M$39+($M$40+$M$41)</f>
        <v>101184</v>
      </c>
      <c r="N17" s="131">
        <f>($L$17-330000)*$N$33+($N$34+$N$35)*0.8+($L$17-330000)*$N$36+($N$37+$N$38)*0.8+($L$17-330000)*$N$39+($N$40+$N$41)*0.8</f>
        <v>92736</v>
      </c>
      <c r="P17" s="113" t="s">
        <v>36</v>
      </c>
      <c r="Q17" s="160">
        <f>IF((($P$15-330000)*$M$36+$M$37*2+$M$38)&lt;$Q$34,($P$15-330000)*$M$36+$M$37*2+$M$38,$Q$34)</f>
        <v>168105</v>
      </c>
      <c r="R17" s="160">
        <f>IF((($P$15-330000)*$N$36+$N$37*2+$N$38)&lt;$R$34,($P$15-330000)*$N$36+$N$37*2+$N$38,$R$34)</f>
        <v>168105</v>
      </c>
      <c r="S17" s="124"/>
    </row>
    <row r="18" spans="2:20" ht="21" customHeight="1">
      <c r="B18" s="277"/>
      <c r="C18" s="229" t="s">
        <v>26</v>
      </c>
      <c r="D18" s="230"/>
      <c r="E18" s="326">
        <f t="shared" si="0"/>
        <v>-10.119999999999999</v>
      </c>
      <c r="F18" s="327"/>
      <c r="G18" s="328">
        <f>$N18</f>
        <v>-9.27</v>
      </c>
      <c r="H18" s="329"/>
      <c r="I18" s="144">
        <f>I17/12</f>
        <v>-704</v>
      </c>
      <c r="J18" s="148" t="s">
        <v>20</v>
      </c>
      <c r="K18" s="10"/>
      <c r="L18" s="124"/>
      <c r="M18" s="130">
        <f>-ROUND(SUM(M17/1000000*100),2)</f>
        <v>-10.119999999999999</v>
      </c>
      <c r="N18" s="130">
        <f>-ROUND(SUM(N17/1000000*100),2)</f>
        <v>-9.27</v>
      </c>
      <c r="P18" s="114" t="s">
        <v>40</v>
      </c>
      <c r="Q18" s="161">
        <f>IF((($P$15-330000)*$M$39+$M$40*2+$M$41)&lt;$Q$35,($P$15-330000)*$M$39+$M$40*2+$M$41,$Q$35)</f>
        <v>160000</v>
      </c>
      <c r="R18" s="161">
        <f>IF((($P$15-330000)*$N$39+$N$40*2+$N$41)&lt;$R$35,($P$15-330000)*$N$39+$N$40*2+$N$41,$R$35)</f>
        <v>160000</v>
      </c>
      <c r="S18" s="124" t="s">
        <v>19</v>
      </c>
      <c r="T18" s="124" t="s">
        <v>19</v>
      </c>
    </row>
    <row r="19" spans="2:20" ht="21" customHeight="1">
      <c r="B19" s="8"/>
      <c r="C19" s="217" t="s">
        <v>45</v>
      </c>
      <c r="D19" s="218"/>
      <c r="E19" s="219">
        <f t="shared" si="0"/>
        <v>119196</v>
      </c>
      <c r="F19" s="220"/>
      <c r="G19" s="330">
        <f>N19</f>
        <v>122724</v>
      </c>
      <c r="H19" s="331"/>
      <c r="I19" s="145">
        <f>G19-E19</f>
        <v>3528</v>
      </c>
      <c r="J19" s="151" t="s">
        <v>20</v>
      </c>
      <c r="L19" s="124">
        <v>1000000</v>
      </c>
      <c r="M19" s="131">
        <f>($L$19-330000)*$M$33+($M$34+$M$35)+($L$19-330000)*$M$36+($M$37+$M$38)+($L$19-330000)*$M$39+($M$40+$M$41)</f>
        <v>119196</v>
      </c>
      <c r="N19" s="131">
        <f>($L$19-330000)*$N$33+($N$34+$N$35)+($L$19-330000)*$N$36+($N$37+$N$38)+($L$19-330000)*$N$39+($N$40+$N$41)</f>
        <v>122724</v>
      </c>
      <c r="P19" s="124">
        <v>7000000</v>
      </c>
      <c r="Q19" s="115">
        <v>27</v>
      </c>
      <c r="R19" s="120">
        <v>28</v>
      </c>
    </row>
    <row r="20" spans="2:20" ht="21" customHeight="1">
      <c r="B20" s="8"/>
      <c r="C20" s="229" t="s">
        <v>26</v>
      </c>
      <c r="D20" s="230"/>
      <c r="E20" s="326">
        <f t="shared" si="0"/>
        <v>-11.92</v>
      </c>
      <c r="F20" s="327"/>
      <c r="G20" s="328">
        <f>$N20</f>
        <v>-12.27</v>
      </c>
      <c r="H20" s="329"/>
      <c r="I20" s="144">
        <f>I19/12</f>
        <v>294</v>
      </c>
      <c r="J20" s="148" t="s">
        <v>20</v>
      </c>
      <c r="M20" s="130">
        <f>-ROUND(SUM(M19/1000000*100),2)</f>
        <v>-11.92</v>
      </c>
      <c r="N20" s="130">
        <f>-ROUND(SUM(N19/1000000*100),2)</f>
        <v>-12.27</v>
      </c>
      <c r="P20" s="112" t="s">
        <v>35</v>
      </c>
      <c r="Q20" s="159">
        <f>IF((($P$19-330000)*$M$33+$M$34*2+$M$35)&lt;$Q$33,($P$19-330000)*$M$33+$M$34*2+$M$35,$Q$33)</f>
        <v>390623</v>
      </c>
      <c r="R20" s="159">
        <f>IF((($P$19-330000)*$N$33+$N$34*2+$N$35)&lt;$R$33,($P$19-330000)*$N$33+$N$34*2+$N$35,$R$33)</f>
        <v>410231</v>
      </c>
    </row>
    <row r="21" spans="2:20" ht="21" customHeight="1">
      <c r="B21" s="313" t="s">
        <v>116</v>
      </c>
      <c r="C21" s="217" t="s">
        <v>4</v>
      </c>
      <c r="D21" s="218"/>
      <c r="E21" s="219">
        <f t="shared" si="0"/>
        <v>713638</v>
      </c>
      <c r="F21" s="220"/>
      <c r="G21" s="330">
        <f>N21</f>
        <v>733006</v>
      </c>
      <c r="H21" s="331"/>
      <c r="I21" s="145">
        <f>G21-E21</f>
        <v>19368</v>
      </c>
      <c r="J21" s="152" t="s">
        <v>20</v>
      </c>
      <c r="L21" s="1">
        <f>P15</f>
        <v>6900000</v>
      </c>
      <c r="M21" s="101">
        <f>SUM(Q16:Q18)</f>
        <v>713638</v>
      </c>
      <c r="N21" s="101">
        <f>SUM(R16:R18)</f>
        <v>733006</v>
      </c>
      <c r="P21" s="113" t="s">
        <v>36</v>
      </c>
      <c r="Q21" s="160">
        <f>IF((($P$19-330000)*$M$36+$M$37*2+$M$38)&lt;$Q$34,($P$19-330000)*$M$36+$M$37*2+$M$38,$Q$34)</f>
        <v>170000</v>
      </c>
      <c r="R21" s="160">
        <f>IF((($P$19-330000)*$N$36+$N$37*2+$N$38)&lt;$R$34,($P$19-330000)*$N$36+$N$37*2+$N$38,$R$34)</f>
        <v>170355</v>
      </c>
      <c r="S21" s="124" t="s">
        <v>19</v>
      </c>
      <c r="T21" s="124"/>
    </row>
    <row r="22" spans="2:20" ht="21" customHeight="1">
      <c r="B22" s="277"/>
      <c r="C22" s="229" t="s">
        <v>39</v>
      </c>
      <c r="D22" s="230"/>
      <c r="E22" s="326">
        <f t="shared" si="0"/>
        <v>-11.33</v>
      </c>
      <c r="F22" s="327"/>
      <c r="G22" s="328">
        <f>$N22</f>
        <v>-11.64</v>
      </c>
      <c r="H22" s="329"/>
      <c r="I22" s="144">
        <f>I21/12</f>
        <v>1614</v>
      </c>
      <c r="J22" s="153" t="s">
        <v>20</v>
      </c>
      <c r="M22" s="134">
        <f>-ROUND(SUM(M21/6300000*100),2)</f>
        <v>-11.33</v>
      </c>
      <c r="N22" s="134">
        <f>-ROUND(SUM(N21/6300000*100),2)</f>
        <v>-11.64</v>
      </c>
      <c r="P22" s="114" t="s">
        <v>40</v>
      </c>
      <c r="Q22" s="161">
        <f>IF((($P$19-330000)*$M$39+$M$40*2+$M$41)&lt;$Q$35,($P$19-330000)*$M$39+$M$40*2+$M$41,$Q$35)</f>
        <v>160000</v>
      </c>
      <c r="R22" s="161">
        <f>IF((($P$19-330000)*$N$39+$N$40*2+$N$41)&lt;$R$35,($P$19-330000)*$N$39+$N$40*2+$N$41,$R$35)</f>
        <v>160000</v>
      </c>
      <c r="S22" s="124" t="s">
        <v>19</v>
      </c>
      <c r="T22" s="124" t="s">
        <v>19</v>
      </c>
    </row>
    <row r="23" spans="2:20" ht="21" customHeight="1">
      <c r="B23" s="314"/>
      <c r="C23" s="217" t="s">
        <v>91</v>
      </c>
      <c r="D23" s="218"/>
      <c r="E23" s="219">
        <f t="shared" si="0"/>
        <v>720623</v>
      </c>
      <c r="F23" s="220"/>
      <c r="G23" s="330">
        <f>N23</f>
        <v>740586</v>
      </c>
      <c r="H23" s="331"/>
      <c r="I23" s="145">
        <f>G23-E23</f>
        <v>19963</v>
      </c>
      <c r="J23" s="152" t="s">
        <v>20</v>
      </c>
      <c r="L23" s="1">
        <f>P19</f>
        <v>7000000</v>
      </c>
      <c r="M23" s="101">
        <f>SUM(Q20:Q22)</f>
        <v>720623</v>
      </c>
      <c r="N23" s="101">
        <f>SUM(R20:R22)</f>
        <v>740586</v>
      </c>
      <c r="P23" s="124">
        <v>7900000</v>
      </c>
      <c r="Q23" s="115">
        <v>27</v>
      </c>
      <c r="R23" s="120">
        <v>28</v>
      </c>
    </row>
    <row r="24" spans="2:20" ht="21" customHeight="1">
      <c r="B24" s="315"/>
      <c r="C24" s="229" t="s">
        <v>39</v>
      </c>
      <c r="D24" s="230"/>
      <c r="E24" s="326">
        <f t="shared" si="0"/>
        <v>-10.6</v>
      </c>
      <c r="F24" s="327"/>
      <c r="G24" s="328">
        <f>$N24</f>
        <v>-10.89</v>
      </c>
      <c r="H24" s="329"/>
      <c r="I24" s="144">
        <f>I23/12</f>
        <v>1663.5833333333333</v>
      </c>
      <c r="J24" s="153" t="s">
        <v>20</v>
      </c>
      <c r="M24" s="134">
        <f>-ROUND(SUM(M23/6800000*100),2)</f>
        <v>-10.6</v>
      </c>
      <c r="N24" s="134">
        <f>-ROUND(SUM(N23/6800000*100),2)</f>
        <v>-10.89</v>
      </c>
      <c r="P24" s="112" t="s">
        <v>35</v>
      </c>
      <c r="Q24" s="159">
        <f>IF((($P$23-330000)*$M$33+$M$34*2+$M$35)&lt;$Q$33,($P$23-330000)*$M$33+$M$34*2+$M$35,$Q$33)</f>
        <v>436433</v>
      </c>
      <c r="R24" s="159">
        <f>IF((($P$23-330000)*$N$33+$N$34*2+$N$35)&lt;$R$33,($P$23-330000)*$N$33+$N$34*2+$N$35,$R$33)</f>
        <v>458201</v>
      </c>
      <c r="S24" s="124"/>
      <c r="T24" s="124"/>
    </row>
    <row r="25" spans="2:20" ht="21" customHeight="1">
      <c r="B25" s="210" t="s">
        <v>119</v>
      </c>
      <c r="C25" s="217" t="s">
        <v>115</v>
      </c>
      <c r="D25" s="218"/>
      <c r="E25" s="219">
        <f t="shared" si="0"/>
        <v>766433</v>
      </c>
      <c r="F25" s="220"/>
      <c r="G25" s="330">
        <f>N25</f>
        <v>808201</v>
      </c>
      <c r="H25" s="331"/>
      <c r="I25" s="145">
        <f>G25-E25</f>
        <v>41768</v>
      </c>
      <c r="J25" s="152" t="s">
        <v>20</v>
      </c>
      <c r="L25" s="1">
        <f>P23</f>
        <v>7900000</v>
      </c>
      <c r="M25" s="101">
        <f>SUM(Q24:Q26)</f>
        <v>766433</v>
      </c>
      <c r="N25" s="101">
        <f>SUM(R24:R26)</f>
        <v>808201</v>
      </c>
      <c r="P25" s="113" t="s">
        <v>36</v>
      </c>
      <c r="Q25" s="160">
        <f>IF((($P$23-330000)*$M$36+$M$37*2+$M$38)&lt;$Q$34,($P$23-330000)*$M$36+$M$37*2+$M$38,$Q$34)</f>
        <v>170000</v>
      </c>
      <c r="R25" s="160">
        <f>IF((($P$23-330000)*$N$36+$N$37*2+$N$38)&lt;$R$34,($P$23-330000)*$N$36+$N$37*2+$N$38,$R$34)</f>
        <v>190000</v>
      </c>
      <c r="S25" s="124" t="s">
        <v>19</v>
      </c>
      <c r="T25" s="124" t="s">
        <v>19</v>
      </c>
    </row>
    <row r="26" spans="2:20" ht="21" customHeight="1">
      <c r="B26" s="209"/>
      <c r="C26" s="229" t="s">
        <v>39</v>
      </c>
      <c r="D26" s="230"/>
      <c r="E26" s="326">
        <f t="shared" si="0"/>
        <v>-10.95</v>
      </c>
      <c r="F26" s="327"/>
      <c r="G26" s="328">
        <f>$N26</f>
        <v>-11.55</v>
      </c>
      <c r="H26" s="329"/>
      <c r="I26" s="144">
        <f>I25/12</f>
        <v>3480.6666666666665</v>
      </c>
      <c r="J26" s="153" t="s">
        <v>20</v>
      </c>
      <c r="M26" s="134">
        <f>-ROUND(SUM(M25/7000000*100),2)</f>
        <v>-10.95</v>
      </c>
      <c r="N26" s="134">
        <f>-ROUND(SUM(N25/7000000*100),2)</f>
        <v>-11.55</v>
      </c>
      <c r="P26" s="114" t="s">
        <v>40</v>
      </c>
      <c r="Q26" s="161">
        <f>IF((($P$23-330000)*$M$39+$M$40*2+$M$41)&lt;$Q$35,($P$23-330000)*$M$39+$M$40*2+$M$41,$Q$35)</f>
        <v>160000</v>
      </c>
      <c r="R26" s="161">
        <f>IF((($P$23-330000)*$N$39+$N$40*2+$N$41)&lt;$R$35,($P$23-330000)*$N$39+$N$40*2+$N$41,$R$35)</f>
        <v>160000</v>
      </c>
      <c r="S26" s="124" t="s">
        <v>19</v>
      </c>
      <c r="T26" s="124" t="s">
        <v>19</v>
      </c>
    </row>
    <row r="27" spans="2:20" ht="21" customHeight="1">
      <c r="B27" s="208" t="s">
        <v>59</v>
      </c>
      <c r="C27" s="303" t="s">
        <v>15</v>
      </c>
      <c r="D27" s="257"/>
      <c r="E27" s="304">
        <f t="shared" si="0"/>
        <v>850000</v>
      </c>
      <c r="F27" s="305"/>
      <c r="G27" s="316">
        <f>N27</f>
        <v>890000</v>
      </c>
      <c r="H27" s="317"/>
      <c r="I27" s="145">
        <f>G27-E27</f>
        <v>40000</v>
      </c>
      <c r="J27" s="154" t="s">
        <v>20</v>
      </c>
      <c r="L27" s="1">
        <f>P27</f>
        <v>9550000</v>
      </c>
      <c r="M27" s="101">
        <f>SUM(Q28:Q30)</f>
        <v>850000</v>
      </c>
      <c r="N27" s="101">
        <f>SUM(R28:R30)</f>
        <v>890000</v>
      </c>
      <c r="P27" s="124">
        <v>9550000</v>
      </c>
      <c r="Q27" s="115">
        <v>27</v>
      </c>
      <c r="R27" s="120">
        <v>28</v>
      </c>
    </row>
    <row r="28" spans="2:20" ht="21" customHeight="1">
      <c r="B28" s="208"/>
      <c r="C28" s="223" t="s">
        <v>39</v>
      </c>
      <c r="D28" s="224"/>
      <c r="E28" s="318">
        <f t="shared" si="0"/>
        <v>-8.85</v>
      </c>
      <c r="F28" s="319"/>
      <c r="G28" s="320">
        <f>$N28</f>
        <v>-9.27</v>
      </c>
      <c r="H28" s="321"/>
      <c r="I28" s="146">
        <f>I27/12</f>
        <v>3333.3333333333335</v>
      </c>
      <c r="J28" s="155" t="s">
        <v>20</v>
      </c>
      <c r="M28" s="102">
        <f>-ROUND(SUM(M27/9600000*100),2)</f>
        <v>-8.85</v>
      </c>
      <c r="N28" s="102">
        <f>-ROUND(SUM(N27/9600000*100),2)</f>
        <v>-9.27</v>
      </c>
      <c r="P28" s="112" t="s">
        <v>35</v>
      </c>
      <c r="Q28" s="159">
        <f>IF((($P$27-330000)*$M$33+$M$34*2+$M$35)&lt;$Q$33,($P$27-330000)*$M$33+$M$34*2+$M$35,$Q$33)</f>
        <v>520000</v>
      </c>
      <c r="R28" s="159">
        <f>IF((($P$27-330000)*$N$33+$N$34*2+$N$35)&lt;$R$33,($P$27-330000)*$N$33+$N$34*2+$N$35,$R$33)</f>
        <v>540000</v>
      </c>
      <c r="S28" s="124" t="s">
        <v>19</v>
      </c>
      <c r="T28" s="124" t="s">
        <v>19</v>
      </c>
    </row>
    <row r="29" spans="2:20">
      <c r="M29" s="156"/>
      <c r="N29" s="156"/>
      <c r="P29" s="113" t="s">
        <v>36</v>
      </c>
      <c r="Q29" s="160">
        <f>IF((($P$27-330000)*$M$36+$M$37*2+$M$38)&lt;$Q$34,($P$27-330000)*$M$36+$M$37*2+$M$38,$Q$34)</f>
        <v>170000</v>
      </c>
      <c r="R29" s="160">
        <f>IF((($P$27-330000)*$N$36+$N$37*2+$N$38)&lt;$R$34,($P$27-330000)*$N$36+$N$37*2+$N$38,$R$34)</f>
        <v>190000</v>
      </c>
      <c r="S29" s="124" t="s">
        <v>19</v>
      </c>
      <c r="T29" s="124" t="s">
        <v>19</v>
      </c>
    </row>
    <row r="30" spans="2:20" ht="17.25" customHeight="1">
      <c r="B30" s="322" t="s">
        <v>122</v>
      </c>
      <c r="C30" s="322"/>
      <c r="D30" s="322"/>
      <c r="E30" s="322"/>
      <c r="F30" s="322"/>
      <c r="G30" s="322"/>
      <c r="H30" s="322"/>
      <c r="I30" s="322"/>
      <c r="J30" s="322"/>
      <c r="M30" s="157"/>
      <c r="N30" s="157"/>
      <c r="P30" s="114" t="s">
        <v>40</v>
      </c>
      <c r="Q30" s="160">
        <f>IF((($P$27-330000)*$M$39+$M$40*2+$M$41)&lt;$Q$35,($P$27-330000)*$M$39+$M$40*2+$M$41,$Q$35)</f>
        <v>160000</v>
      </c>
      <c r="R30" s="160">
        <f>IF((($P$27-330000)*$N$39+$N$40*2+$N$41)&lt;$R$35,($P$27-330000)*$N$39+$N$40*2+$N$41,$R$35)</f>
        <v>160000</v>
      </c>
      <c r="S30" s="124" t="s">
        <v>19</v>
      </c>
      <c r="T30" s="124" t="s">
        <v>19</v>
      </c>
    </row>
    <row r="31" spans="2:20" ht="7.5" customHeight="1">
      <c r="G31" s="41"/>
      <c r="H31" s="41"/>
      <c r="M31" s="12"/>
      <c r="N31" s="12"/>
    </row>
    <row r="32" spans="2:20" ht="39" customHeight="1">
      <c r="B32" s="295" t="s">
        <v>76</v>
      </c>
      <c r="C32" s="296"/>
      <c r="D32" s="297"/>
      <c r="E32" s="310" t="s">
        <v>78</v>
      </c>
      <c r="F32" s="323"/>
      <c r="G32" s="310" t="s">
        <v>110</v>
      </c>
      <c r="H32" s="311"/>
      <c r="I32" s="324" t="s">
        <v>79</v>
      </c>
      <c r="J32" s="325"/>
      <c r="M32" s="158"/>
      <c r="N32" s="158"/>
    </row>
    <row r="33" spans="2:18" ht="30" customHeight="1">
      <c r="B33" s="295" t="s">
        <v>8</v>
      </c>
      <c r="C33" s="296"/>
      <c r="D33" s="297"/>
      <c r="E33" s="298">
        <v>0.192</v>
      </c>
      <c r="F33" s="300"/>
      <c r="G33" s="298">
        <v>0.193</v>
      </c>
      <c r="H33" s="300"/>
      <c r="I33" s="301">
        <f t="shared" ref="I33:I40" si="1">G33-E33</f>
        <v>1.0000000000000009E-3</v>
      </c>
      <c r="J33" s="302"/>
      <c r="L33" s="1" t="s">
        <v>111</v>
      </c>
      <c r="M33" s="124">
        <v>5.0900000000000001E-2</v>
      </c>
      <c r="N33" s="124">
        <v>5.33E-2</v>
      </c>
      <c r="P33" s="1" t="s">
        <v>100</v>
      </c>
      <c r="Q33" s="124">
        <v>520000</v>
      </c>
      <c r="R33" s="124">
        <v>540000</v>
      </c>
    </row>
    <row r="34" spans="2:18" ht="30" customHeight="1">
      <c r="B34" s="282" t="s">
        <v>141</v>
      </c>
      <c r="C34" s="283"/>
      <c r="D34" s="284"/>
      <c r="E34" s="285">
        <v>0.17199999999999999</v>
      </c>
      <c r="F34" s="287"/>
      <c r="G34" s="285">
        <v>0.14699999999999999</v>
      </c>
      <c r="H34" s="287"/>
      <c r="I34" s="288">
        <f t="shared" si="1"/>
        <v>-2.4999999999999994E-2</v>
      </c>
      <c r="J34" s="289"/>
      <c r="L34" s="1" t="s">
        <v>1</v>
      </c>
      <c r="M34" s="124">
        <v>19680</v>
      </c>
      <c r="N34" s="124">
        <v>21360</v>
      </c>
      <c r="P34" s="1" t="s">
        <v>117</v>
      </c>
      <c r="Q34" s="124">
        <v>170000</v>
      </c>
      <c r="R34" s="124">
        <v>190000</v>
      </c>
    </row>
    <row r="35" spans="2:18" ht="30" customHeight="1">
      <c r="B35" s="282" t="s">
        <v>142</v>
      </c>
      <c r="C35" s="283"/>
      <c r="D35" s="284"/>
      <c r="E35" s="285">
        <v>0.13200000000000001</v>
      </c>
      <c r="F35" s="287"/>
      <c r="G35" s="285">
        <v>0.16900000000000001</v>
      </c>
      <c r="H35" s="287"/>
      <c r="I35" s="288">
        <f t="shared" si="1"/>
        <v>3.7000000000000005E-2</v>
      </c>
      <c r="J35" s="289"/>
      <c r="L35" s="1" t="s">
        <v>112</v>
      </c>
      <c r="M35" s="124">
        <v>11760</v>
      </c>
      <c r="N35" s="124">
        <v>12000</v>
      </c>
      <c r="P35" s="1" t="s">
        <v>116</v>
      </c>
      <c r="Q35" s="124">
        <v>160000</v>
      </c>
      <c r="R35" s="124">
        <v>160000</v>
      </c>
    </row>
    <row r="36" spans="2:18" ht="30" customHeight="1">
      <c r="B36" s="282" t="s">
        <v>143</v>
      </c>
      <c r="C36" s="283"/>
      <c r="D36" s="284"/>
      <c r="E36" s="285">
        <v>0.20300000000000001</v>
      </c>
      <c r="F36" s="287"/>
      <c r="G36" s="285">
        <v>0.188</v>
      </c>
      <c r="H36" s="287"/>
      <c r="I36" s="288">
        <f t="shared" si="1"/>
        <v>-1.5000000000000013E-2</v>
      </c>
      <c r="J36" s="289"/>
      <c r="L36" s="1" t="s">
        <v>113</v>
      </c>
      <c r="M36" s="124">
        <v>2.2499999999999999E-2</v>
      </c>
      <c r="N36" s="124">
        <v>2.2499999999999999E-2</v>
      </c>
    </row>
    <row r="37" spans="2:18" ht="30" customHeight="1">
      <c r="B37" s="282" t="s">
        <v>80</v>
      </c>
      <c r="C37" s="283"/>
      <c r="D37" s="284"/>
      <c r="E37" s="285">
        <v>9.9000000000000005E-2</v>
      </c>
      <c r="F37" s="287"/>
      <c r="G37" s="285">
        <v>0.104</v>
      </c>
      <c r="H37" s="287"/>
      <c r="I37" s="288">
        <f t="shared" si="1"/>
        <v>4.9999999999999906E-3</v>
      </c>
      <c r="J37" s="289"/>
      <c r="L37" s="1" t="s">
        <v>1</v>
      </c>
      <c r="M37" s="124">
        <v>7800</v>
      </c>
      <c r="N37" s="124">
        <v>7800</v>
      </c>
    </row>
    <row r="38" spans="2:18" ht="30" customHeight="1">
      <c r="B38" s="282" t="s">
        <v>144</v>
      </c>
      <c r="C38" s="283"/>
      <c r="D38" s="284"/>
      <c r="E38" s="285">
        <v>5.1999999999999998E-2</v>
      </c>
      <c r="F38" s="287"/>
      <c r="G38" s="285">
        <v>5.3999999999999999E-2</v>
      </c>
      <c r="H38" s="287"/>
      <c r="I38" s="288">
        <f t="shared" si="1"/>
        <v>2.0000000000000018E-3</v>
      </c>
      <c r="J38" s="289"/>
      <c r="L38" s="1" t="s">
        <v>112</v>
      </c>
      <c r="M38" s="124">
        <v>4680</v>
      </c>
      <c r="N38" s="124">
        <v>4680</v>
      </c>
    </row>
    <row r="39" spans="2:18" ht="30" customHeight="1">
      <c r="B39" s="282" t="s">
        <v>87</v>
      </c>
      <c r="C39" s="283"/>
      <c r="D39" s="284"/>
      <c r="E39" s="285">
        <v>4.1000000000000002E-2</v>
      </c>
      <c r="F39" s="287"/>
      <c r="G39" s="285">
        <v>4.2000000000000003E-2</v>
      </c>
      <c r="H39" s="287"/>
      <c r="I39" s="288">
        <f t="shared" si="1"/>
        <v>1.0000000000000009E-3</v>
      </c>
      <c r="J39" s="289"/>
      <c r="L39" s="1" t="s">
        <v>114</v>
      </c>
      <c r="M39" s="124">
        <v>2.1399999999999999E-2</v>
      </c>
      <c r="N39" s="124">
        <v>2.1399999999999999E-2</v>
      </c>
    </row>
    <row r="40" spans="2:18" ht="30" customHeight="1">
      <c r="B40" s="268" t="s">
        <v>71</v>
      </c>
      <c r="C40" s="269"/>
      <c r="D40" s="270"/>
      <c r="E40" s="290">
        <v>0.109</v>
      </c>
      <c r="F40" s="292"/>
      <c r="G40" s="290">
        <v>0.10299999999999999</v>
      </c>
      <c r="H40" s="292"/>
      <c r="I40" s="275">
        <f t="shared" si="1"/>
        <v>-6.0000000000000053E-3</v>
      </c>
      <c r="J40" s="276"/>
      <c r="L40" s="1" t="s">
        <v>1</v>
      </c>
      <c r="M40" s="124">
        <v>8040</v>
      </c>
      <c r="N40" s="124">
        <v>8040</v>
      </c>
    </row>
    <row r="41" spans="2:18" ht="30" customHeight="1">
      <c r="B41" s="268" t="s">
        <v>88</v>
      </c>
      <c r="C41" s="269"/>
      <c r="D41" s="270"/>
      <c r="E41" s="271">
        <f>SUM(E33:E40)</f>
        <v>1.0000000000000002</v>
      </c>
      <c r="F41" s="272"/>
      <c r="G41" s="273">
        <f>SUM(G33:G40)</f>
        <v>1.0000000000000002</v>
      </c>
      <c r="H41" s="274"/>
      <c r="I41" s="275">
        <f>SUM(I33:I40)</f>
        <v>-1.3877787807814457E-17</v>
      </c>
      <c r="J41" s="276"/>
      <c r="L41" s="1" t="s">
        <v>112</v>
      </c>
      <c r="M41" s="124">
        <v>3720</v>
      </c>
      <c r="N41" s="124">
        <v>3720</v>
      </c>
    </row>
    <row r="42" spans="2:18" ht="21" customHeight="1">
      <c r="C42" s="1"/>
      <c r="D42" s="1"/>
    </row>
    <row r="43" spans="2:18" ht="21" customHeight="1">
      <c r="C43" s="1"/>
      <c r="D43" s="1"/>
    </row>
    <row r="45" spans="2:18">
      <c r="C45" s="1"/>
      <c r="D45" s="1"/>
    </row>
    <row r="46" spans="2:18">
      <c r="C46" s="1"/>
      <c r="D46" s="1"/>
    </row>
    <row r="47" spans="2:18">
      <c r="C47" s="1"/>
      <c r="D47" s="1"/>
    </row>
    <row r="48" spans="2:18">
      <c r="C48" s="1"/>
      <c r="D48" s="1"/>
    </row>
    <row r="49" spans="3:4">
      <c r="C49" s="1"/>
      <c r="D49" s="1"/>
    </row>
    <row r="50" spans="3:4">
      <c r="C50" s="1"/>
      <c r="D50" s="1"/>
    </row>
    <row r="51" spans="3:4">
      <c r="C51" s="1"/>
      <c r="D51" s="1"/>
    </row>
    <row r="52" spans="3:4">
      <c r="C52" s="1"/>
      <c r="D52" s="1"/>
    </row>
    <row r="53" spans="3:4">
      <c r="C53" s="1"/>
      <c r="D53" s="1"/>
    </row>
    <row r="54" spans="3:4">
      <c r="C54" s="1"/>
      <c r="D54" s="1"/>
    </row>
    <row r="55" spans="3:4">
      <c r="C55" s="1"/>
      <c r="D55" s="1"/>
    </row>
  </sheetData>
  <mergeCells count="121">
    <mergeCell ref="B4:J4"/>
    <mergeCell ref="C6:D6"/>
    <mergeCell ref="E6:F6"/>
    <mergeCell ref="G6:H6"/>
    <mergeCell ref="I6:J6"/>
    <mergeCell ref="C7:D7"/>
    <mergeCell ref="E7:F7"/>
    <mergeCell ref="G7:H7"/>
    <mergeCell ref="C8:D8"/>
    <mergeCell ref="E8:F8"/>
    <mergeCell ref="G8:H8"/>
    <mergeCell ref="B7:B10"/>
    <mergeCell ref="E12:F12"/>
    <mergeCell ref="G12:H12"/>
    <mergeCell ref="C13:D13"/>
    <mergeCell ref="E13:F13"/>
    <mergeCell ref="G13:H13"/>
    <mergeCell ref="C14:D14"/>
    <mergeCell ref="E14:F14"/>
    <mergeCell ref="G14:H14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E18:F18"/>
    <mergeCell ref="G18:H18"/>
    <mergeCell ref="C19:D19"/>
    <mergeCell ref="E19:F19"/>
    <mergeCell ref="G19:H19"/>
    <mergeCell ref="C20:D20"/>
    <mergeCell ref="E20:F20"/>
    <mergeCell ref="G20:H20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E24:F24"/>
    <mergeCell ref="G24:H24"/>
    <mergeCell ref="C25:D25"/>
    <mergeCell ref="E25:F25"/>
    <mergeCell ref="G25:H25"/>
    <mergeCell ref="C26:D26"/>
    <mergeCell ref="E26:F26"/>
    <mergeCell ref="G26:H26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E27:F27"/>
    <mergeCell ref="G27:H27"/>
    <mergeCell ref="C28:D28"/>
    <mergeCell ref="E28:F28"/>
    <mergeCell ref="G28:H28"/>
    <mergeCell ref="B30:J30"/>
    <mergeCell ref="B32:D32"/>
    <mergeCell ref="E32:F32"/>
    <mergeCell ref="G32:H32"/>
    <mergeCell ref="I32:J32"/>
    <mergeCell ref="E33:F33"/>
    <mergeCell ref="G33:H33"/>
    <mergeCell ref="I33:J33"/>
    <mergeCell ref="B34:D34"/>
    <mergeCell ref="E34:F34"/>
    <mergeCell ref="G34:H34"/>
    <mergeCell ref="I34:J34"/>
    <mergeCell ref="B35:D35"/>
    <mergeCell ref="E35:F35"/>
    <mergeCell ref="G35:H35"/>
    <mergeCell ref="I35:J35"/>
    <mergeCell ref="E36:F36"/>
    <mergeCell ref="G36:H36"/>
    <mergeCell ref="I36:J36"/>
    <mergeCell ref="B37:D37"/>
    <mergeCell ref="E37:F37"/>
    <mergeCell ref="G37:H37"/>
    <mergeCell ref="I37:J37"/>
    <mergeCell ref="B38:D38"/>
    <mergeCell ref="E38:F38"/>
    <mergeCell ref="G38:H38"/>
    <mergeCell ref="I38:J38"/>
    <mergeCell ref="E39:F39"/>
    <mergeCell ref="G39:H39"/>
    <mergeCell ref="I39:J39"/>
    <mergeCell ref="B40:D40"/>
    <mergeCell ref="E40:F40"/>
    <mergeCell ref="G40:H40"/>
    <mergeCell ref="I40:J40"/>
    <mergeCell ref="B41:D41"/>
    <mergeCell ref="E41:F41"/>
    <mergeCell ref="G41:H41"/>
    <mergeCell ref="I41:J41"/>
    <mergeCell ref="B11:B12"/>
    <mergeCell ref="B13:B14"/>
    <mergeCell ref="B15:B16"/>
    <mergeCell ref="B17:B18"/>
    <mergeCell ref="B21:B22"/>
    <mergeCell ref="B23:B24"/>
    <mergeCell ref="B25:B26"/>
    <mergeCell ref="B27:B28"/>
    <mergeCell ref="B39:D39"/>
    <mergeCell ref="B36:D36"/>
    <mergeCell ref="B33:D33"/>
    <mergeCell ref="C27:D27"/>
    <mergeCell ref="C24:D24"/>
    <mergeCell ref="C18:D18"/>
    <mergeCell ref="C12:D12"/>
  </mergeCells>
  <phoneticPr fontId="2"/>
  <printOptions horizontalCentered="1"/>
  <pageMargins left="0.59055118110236227" right="0.59055118110236227" top="0.98425196850393704" bottom="0.78740157480314965" header="0.31496062992125984" footer="0.31496062992125984"/>
  <pageSetup paperSize="9" scale="86" orientation="portrait" r:id="rId1"/>
  <headerFooter>
    <oddFooter xml:space="preserve">&amp;C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  <pageSetUpPr fitToPage="1"/>
  </sheetPr>
  <dimension ref="A1:T55"/>
  <sheetViews>
    <sheetView view="pageBreakPreview" zoomScaleNormal="70" zoomScaleSheetLayoutView="100" workbookViewId="0">
      <selection activeCell="O33" sqref="O33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3.625" style="1" customWidth="1"/>
    <col min="10" max="10" width="3.375" style="1" customWidth="1"/>
    <col min="11" max="11" width="3.875" style="2" customWidth="1"/>
    <col min="12" max="12" width="16.875" style="1" customWidth="1"/>
    <col min="13" max="14" width="12.125" style="1" bestFit="1" customWidth="1"/>
    <col min="15" max="15" width="9" style="1" customWidth="1"/>
    <col min="16" max="16" width="9.5" style="1" bestFit="1" customWidth="1"/>
    <col min="17" max="17" width="10.375" style="1" customWidth="1"/>
    <col min="18" max="18" width="10.5" style="1" bestFit="1" customWidth="1"/>
    <col min="19" max="19" width="9" style="1" customWidth="1"/>
    <col min="20" max="16384" width="9" style="1"/>
  </cols>
  <sheetData>
    <row r="1" spans="1:18" ht="4.5" customHeight="1"/>
    <row r="2" spans="1:18" ht="27" customHeight="1">
      <c r="B2" s="140" t="s">
        <v>121</v>
      </c>
      <c r="C2" s="141"/>
      <c r="D2" s="141"/>
      <c r="E2" s="141"/>
      <c r="F2" s="141"/>
      <c r="G2" s="141"/>
      <c r="H2" s="141"/>
      <c r="I2" s="142" t="s">
        <v>123</v>
      </c>
      <c r="J2" s="141"/>
      <c r="K2" s="141"/>
    </row>
    <row r="3" spans="1:18" ht="11.25" customHeight="1">
      <c r="A3" s="3"/>
      <c r="B3" s="5"/>
      <c r="C3" s="10"/>
      <c r="D3" s="10"/>
      <c r="E3" s="22"/>
      <c r="F3" s="22"/>
      <c r="G3" s="40"/>
      <c r="H3" s="40"/>
      <c r="I3" s="22"/>
      <c r="J3" s="22"/>
      <c r="K3" s="10"/>
    </row>
    <row r="4" spans="1:18" ht="21">
      <c r="B4" s="376" t="s">
        <v>120</v>
      </c>
      <c r="C4" s="376"/>
      <c r="D4" s="376"/>
      <c r="E4" s="376"/>
      <c r="F4" s="376"/>
      <c r="G4" s="376"/>
      <c r="H4" s="376"/>
      <c r="I4" s="376"/>
      <c r="J4" s="376"/>
      <c r="M4" s="1" t="s">
        <v>118</v>
      </c>
    </row>
    <row r="5" spans="1:18" ht="7.5" customHeight="1">
      <c r="G5" s="41"/>
      <c r="H5" s="41"/>
    </row>
    <row r="6" spans="1:18" ht="39" customHeight="1">
      <c r="B6" s="162"/>
      <c r="C6" s="245" t="s">
        <v>25</v>
      </c>
      <c r="D6" s="246"/>
      <c r="E6" s="247" t="s">
        <v>133</v>
      </c>
      <c r="F6" s="248"/>
      <c r="G6" s="383" t="s">
        <v>134</v>
      </c>
      <c r="H6" s="384"/>
      <c r="I6" s="385" t="s">
        <v>60</v>
      </c>
      <c r="J6" s="335"/>
      <c r="K6" s="126"/>
      <c r="M6" s="93">
        <v>28</v>
      </c>
      <c r="N6" s="93">
        <v>29</v>
      </c>
    </row>
    <row r="7" spans="1:18" ht="21" customHeight="1">
      <c r="B7" s="343" t="s">
        <v>73</v>
      </c>
      <c r="C7" s="238" t="s">
        <v>52</v>
      </c>
      <c r="D7" s="239"/>
      <c r="E7" s="386">
        <f>$M7</f>
        <v>17280</v>
      </c>
      <c r="F7" s="387"/>
      <c r="G7" s="388">
        <f>N7</f>
        <v>17280</v>
      </c>
      <c r="H7" s="387"/>
      <c r="I7" s="165">
        <f>G7-E7</f>
        <v>0</v>
      </c>
      <c r="J7" s="169" t="s">
        <v>20</v>
      </c>
      <c r="K7" s="178"/>
      <c r="L7" s="124">
        <v>0</v>
      </c>
      <c r="M7" s="131">
        <f>($M$34+$M$35)*0.3+($M$37+$M$38)*0.3+($M$40+$M$41)*0.3</f>
        <v>17280</v>
      </c>
      <c r="N7" s="131">
        <f>($N$34+$N$35)*0.3+($N$37+$N$38)*0.3+($N$40+$N$41)*0.3</f>
        <v>17280</v>
      </c>
      <c r="P7" s="116"/>
      <c r="Q7" s="116"/>
    </row>
    <row r="8" spans="1:18" ht="21" customHeight="1">
      <c r="B8" s="389"/>
      <c r="C8" s="229" t="s">
        <v>26</v>
      </c>
      <c r="D8" s="312"/>
      <c r="E8" s="353"/>
      <c r="F8" s="354"/>
      <c r="G8" s="379"/>
      <c r="H8" s="354"/>
      <c r="I8" s="166">
        <f>I7/12</f>
        <v>0</v>
      </c>
      <c r="J8" s="170" t="s">
        <v>20</v>
      </c>
      <c r="K8" s="178"/>
      <c r="L8" s="124"/>
      <c r="M8" s="130"/>
      <c r="N8" s="130"/>
      <c r="P8" s="116"/>
      <c r="Q8" s="116"/>
    </row>
    <row r="9" spans="1:18" ht="21" customHeight="1">
      <c r="B9" s="389"/>
      <c r="C9" s="217" t="s">
        <v>13</v>
      </c>
      <c r="D9" s="218"/>
      <c r="E9" s="380">
        <f t="shared" ref="E9:E28" si="0">M9</f>
        <v>17280</v>
      </c>
      <c r="F9" s="381"/>
      <c r="G9" s="382">
        <f>N9</f>
        <v>17280</v>
      </c>
      <c r="H9" s="381"/>
      <c r="I9" s="167">
        <f>G9-E9</f>
        <v>0</v>
      </c>
      <c r="J9" s="171" t="s">
        <v>20</v>
      </c>
      <c r="K9" s="179"/>
      <c r="L9" s="124">
        <v>330000</v>
      </c>
      <c r="M9" s="131">
        <f>($L$9-330000)*$M$33+($M$34+$M$35)*0.3+($L$9-330000)*$M$36+($M$37+$M$38)*0.3+($L$9-330000)*$M$39+($M$40+$M$41)*0.3</f>
        <v>17280</v>
      </c>
      <c r="N9" s="131">
        <f>($L$9-330000)*$N$33+($N$34+$N$35)*0.3+($L$9-330000)*$N$36+($N$37+$N$38)*0.3+($L$9-330000)*$N$39+($N$40+$N$41)*0.3</f>
        <v>17280</v>
      </c>
      <c r="P9" s="116"/>
      <c r="Q9" s="116"/>
    </row>
    <row r="10" spans="1:18" ht="21" customHeight="1">
      <c r="B10" s="389"/>
      <c r="C10" s="229" t="s">
        <v>53</v>
      </c>
      <c r="D10" s="312"/>
      <c r="E10" s="353">
        <f t="shared" si="0"/>
        <v>-5.24</v>
      </c>
      <c r="F10" s="354"/>
      <c r="G10" s="379">
        <f>$N10</f>
        <v>-5.24</v>
      </c>
      <c r="H10" s="354"/>
      <c r="I10" s="166">
        <f>I9/12</f>
        <v>0</v>
      </c>
      <c r="J10" s="171" t="s">
        <v>20</v>
      </c>
      <c r="K10" s="179"/>
      <c r="L10" s="124"/>
      <c r="M10" s="130">
        <f>-ROUND(SUM(M9/$L9*100),2)</f>
        <v>-5.24</v>
      </c>
      <c r="N10" s="130">
        <f>-ROUND(SUM(N9/$L9*100),2)</f>
        <v>-5.24</v>
      </c>
      <c r="P10" s="116"/>
      <c r="Q10" s="116"/>
    </row>
    <row r="11" spans="1:18" ht="21" customHeight="1">
      <c r="B11" s="338" t="s">
        <v>67</v>
      </c>
      <c r="C11" s="217" t="s">
        <v>131</v>
      </c>
      <c r="D11" s="218"/>
      <c r="E11" s="380">
        <f t="shared" si="0"/>
        <v>42408</v>
      </c>
      <c r="F11" s="381"/>
      <c r="G11" s="382">
        <f>N11</f>
        <v>42408</v>
      </c>
      <c r="H11" s="381"/>
      <c r="I11" s="167">
        <f>G11-E11</f>
        <v>0</v>
      </c>
      <c r="J11" s="172" t="s">
        <v>20</v>
      </c>
      <c r="K11" s="179"/>
      <c r="L11" s="124">
        <v>470000</v>
      </c>
      <c r="M11" s="131">
        <f>($L$11-330000)*$M$33+($M$34+$M$35)*0.5+($L$11-330000)*$M$36+($M$37+$M$38)*0.5+($L$11-330000)*$M$39+($M$40+$M$41)*0.5</f>
        <v>42408</v>
      </c>
      <c r="N11" s="131">
        <f>($L$11-330000)*$N$33+($N$34+$N$35)*0.5+($L$11-330000)*$N$36+($N$37+$N$38)*0.5+($L$11-330000)*$N$39+($N$40+$N$41)*0.5</f>
        <v>42408</v>
      </c>
      <c r="P11" s="116"/>
      <c r="Q11" s="116"/>
    </row>
    <row r="12" spans="1:18" ht="21" customHeight="1">
      <c r="B12" s="339"/>
      <c r="C12" s="229" t="s">
        <v>53</v>
      </c>
      <c r="D12" s="230"/>
      <c r="E12" s="353">
        <f t="shared" si="0"/>
        <v>-9.02</v>
      </c>
      <c r="F12" s="354"/>
      <c r="G12" s="379">
        <f>$N12</f>
        <v>-9.02</v>
      </c>
      <c r="H12" s="354"/>
      <c r="I12" s="166">
        <f>I11/12</f>
        <v>0</v>
      </c>
      <c r="J12" s="170" t="s">
        <v>20</v>
      </c>
      <c r="K12" s="179"/>
      <c r="L12" s="124"/>
      <c r="M12" s="130">
        <f>-ROUND(SUM(M11/$L11*100),2)</f>
        <v>-9.02</v>
      </c>
      <c r="N12" s="130">
        <f>-ROUND(SUM(N11/$L11*100),2)</f>
        <v>-9.02</v>
      </c>
    </row>
    <row r="13" spans="1:18" ht="21" customHeight="1">
      <c r="B13" s="340"/>
      <c r="C13" s="217" t="s">
        <v>124</v>
      </c>
      <c r="D13" s="218"/>
      <c r="E13" s="380">
        <f t="shared" si="0"/>
        <v>72324</v>
      </c>
      <c r="F13" s="381"/>
      <c r="G13" s="382">
        <f>N13</f>
        <v>55044</v>
      </c>
      <c r="H13" s="381"/>
      <c r="I13" s="167">
        <f>G13-E13</f>
        <v>-17280</v>
      </c>
      <c r="J13" s="173" t="s">
        <v>20</v>
      </c>
      <c r="K13" s="179"/>
      <c r="L13" s="124">
        <v>600000</v>
      </c>
      <c r="M13" s="131">
        <f>($L$13-330000)*$M$33+($M$34+$M$35)*0.8+($L$13-330000)*$M$36+($M$37+$M$38)*0.8+($L$13-330000)*$M$39+($M$40+$M$41)*0.8</f>
        <v>72324</v>
      </c>
      <c r="N13" s="131">
        <f>($L$13-330000)*$N$33+($N$34+$N$35)*0.5+($L$13-330000)*$N$36+($N$37+$N$38)*0.5+($L$13-330000)*$N$39+($N$40+$N$41)*0.5</f>
        <v>55044</v>
      </c>
    </row>
    <row r="14" spans="1:18" ht="21" customHeight="1">
      <c r="B14" s="341"/>
      <c r="C14" s="229" t="s">
        <v>26</v>
      </c>
      <c r="D14" s="230"/>
      <c r="E14" s="353">
        <f t="shared" si="0"/>
        <v>-12.05</v>
      </c>
      <c r="F14" s="354"/>
      <c r="G14" s="379">
        <f>$N14</f>
        <v>-9.17</v>
      </c>
      <c r="H14" s="354"/>
      <c r="I14" s="166">
        <f>I13/12</f>
        <v>-1440</v>
      </c>
      <c r="J14" s="170" t="s">
        <v>20</v>
      </c>
      <c r="K14" s="179"/>
      <c r="L14" s="124"/>
      <c r="M14" s="130">
        <f>-ROUND(SUM(M13/$L13*100),2)</f>
        <v>-12.05</v>
      </c>
      <c r="N14" s="130">
        <f>-ROUND(SUM(N13/$L13*100),2)</f>
        <v>-9.17</v>
      </c>
      <c r="Q14" s="124"/>
    </row>
    <row r="15" spans="1:18" ht="21" customHeight="1">
      <c r="B15" s="339" t="s">
        <v>63</v>
      </c>
      <c r="C15" s="217" t="s">
        <v>130</v>
      </c>
      <c r="D15" s="218"/>
      <c r="E15" s="380">
        <f t="shared" si="0"/>
        <v>83016</v>
      </c>
      <c r="F15" s="381"/>
      <c r="G15" s="382">
        <f>N15</f>
        <v>83016</v>
      </c>
      <c r="H15" s="381"/>
      <c r="I15" s="167">
        <f>G15-E15</f>
        <v>0</v>
      </c>
      <c r="J15" s="172" t="s">
        <v>20</v>
      </c>
      <c r="K15" s="179"/>
      <c r="L15" s="124">
        <v>710000</v>
      </c>
      <c r="M15" s="131">
        <f>($L$15-330000)*$M$33+($M$34+$M$35)*0.8+($L$15-330000)*$M$36+($M$37+$M$38)*0.8+($L$15-330000)*$M$39+($M$40+$M$41)*0.8</f>
        <v>83016</v>
      </c>
      <c r="N15" s="131">
        <f>($L$15-330000)*$N$33+($N$34+$N$35)*0.8+($L$15-330000)*$N$36+($N$37+$N$38)*0.8+($L$15-330000)*$N$39+($N$40+$N$41)*0.8</f>
        <v>83016</v>
      </c>
      <c r="P15" s="124">
        <v>4000000</v>
      </c>
      <c r="Q15" s="115">
        <v>28</v>
      </c>
      <c r="R15" s="120">
        <v>29</v>
      </c>
    </row>
    <row r="16" spans="1:18" ht="21" customHeight="1">
      <c r="B16" s="339"/>
      <c r="C16" s="229" t="s">
        <v>53</v>
      </c>
      <c r="D16" s="230"/>
      <c r="E16" s="353">
        <f t="shared" si="0"/>
        <v>-11.69</v>
      </c>
      <c r="F16" s="354"/>
      <c r="G16" s="379">
        <f>$N16</f>
        <v>-11.69</v>
      </c>
      <c r="H16" s="354"/>
      <c r="I16" s="166">
        <f>I15/12</f>
        <v>0</v>
      </c>
      <c r="J16" s="170" t="s">
        <v>20</v>
      </c>
      <c r="K16" s="179"/>
      <c r="L16" s="124"/>
      <c r="M16" s="130">
        <f>-ROUND(SUM(M15/$L15*100),2)</f>
        <v>-11.69</v>
      </c>
      <c r="N16" s="130">
        <f>-ROUND(SUM(N15/$L15*100),2)</f>
        <v>-11.69</v>
      </c>
      <c r="P16" s="112" t="s">
        <v>35</v>
      </c>
      <c r="Q16" s="159">
        <f>IF((($P$15-330000)*$M$33+$M$34*2+$M$35)&lt;$Q$33,($P$15-330000)*$M$33+$M$34*2+$M$35,$Q$33)</f>
        <v>250331</v>
      </c>
      <c r="R16" s="159">
        <f>IF((($P$15-330000)*$N$33+$N$34*2+$N$35)&lt;$R$33,($P$15-330000)*$N$33+$N$34*2+$N$35,$R$33)</f>
        <v>250331</v>
      </c>
    </row>
    <row r="17" spans="2:20" ht="21" customHeight="1">
      <c r="B17" s="339"/>
      <c r="C17" s="217" t="s">
        <v>125</v>
      </c>
      <c r="D17" s="218"/>
      <c r="E17" s="380">
        <f t="shared" si="0"/>
        <v>105228</v>
      </c>
      <c r="F17" s="381"/>
      <c r="G17" s="382">
        <f>N17</f>
        <v>93708</v>
      </c>
      <c r="H17" s="381"/>
      <c r="I17" s="167">
        <f>G17-E17</f>
        <v>-11520</v>
      </c>
      <c r="J17" s="173" t="s">
        <v>20</v>
      </c>
      <c r="K17" s="179"/>
      <c r="L17" s="124">
        <v>820000</v>
      </c>
      <c r="M17" s="131">
        <f>($L$17-330000)*$M$33+($M$34+$M$35)+($L$17-330000)*$M$36+($M$37+$M$38)+($L$17-330000)*$M$39+($M$40+$M$41)</f>
        <v>105228</v>
      </c>
      <c r="N17" s="131">
        <f>($L$17-330000)*$N$33+($N$34+$N$35)*0.8+($L$17-330000)*$N$36+($N$37+$N$38)*0.8+($L$17-330000)*$N$39+($N$40+$N$41)*0.8</f>
        <v>93708</v>
      </c>
      <c r="P17" s="113" t="s">
        <v>36</v>
      </c>
      <c r="Q17" s="160">
        <f>IF((($P$15-330000)*$M$36+$M$37*2+$M$38)&lt;$Q$34,($P$15-330000)*$M$36+$M$37*2+$M$38,$Q$34)</f>
        <v>102855</v>
      </c>
      <c r="R17" s="160">
        <f>IF((($P$15-330000)*$N$36+$N$37*2+$N$38)&lt;$R$34,($P$15-330000)*$N$36+$N$37*2+$N$38,$R$34)</f>
        <v>102855</v>
      </c>
      <c r="S17" s="124"/>
    </row>
    <row r="18" spans="2:20" ht="21" customHeight="1">
      <c r="B18" s="339"/>
      <c r="C18" s="229" t="s">
        <v>26</v>
      </c>
      <c r="D18" s="230"/>
      <c r="E18" s="353">
        <f t="shared" si="0"/>
        <v>-12.83</v>
      </c>
      <c r="F18" s="354"/>
      <c r="G18" s="379">
        <f>$N18</f>
        <v>-11.43</v>
      </c>
      <c r="H18" s="354"/>
      <c r="I18" s="166">
        <f>I17/12</f>
        <v>-960</v>
      </c>
      <c r="J18" s="170" t="s">
        <v>20</v>
      </c>
      <c r="K18" s="179"/>
      <c r="L18" s="124"/>
      <c r="M18" s="130">
        <f>-ROUND(SUM(M17/$L17*100),2)</f>
        <v>-12.83</v>
      </c>
      <c r="N18" s="130">
        <f>-ROUND(SUM(N17/$L17*100),2)</f>
        <v>-11.43</v>
      </c>
      <c r="P18" s="114" t="s">
        <v>40</v>
      </c>
      <c r="Q18" s="161">
        <f>IF((($P$15-330000)*$M$39+$M$40*2+$M$41)&lt;$Q$35,($P$15-330000)*$M$39+$M$40*2+$M$41,$Q$35)</f>
        <v>98338</v>
      </c>
      <c r="R18" s="161">
        <f>IF((($P$15-330000)*$N$39+$N$40*2+$N$41)&lt;$R$35,($P$15-330000)*$N$39+$N$40*2+$N$41,$R$35)</f>
        <v>98338</v>
      </c>
      <c r="S18" s="124"/>
      <c r="T18" s="124"/>
    </row>
    <row r="19" spans="2:20" ht="21" customHeight="1">
      <c r="B19" s="163"/>
      <c r="C19" s="217" t="s">
        <v>45</v>
      </c>
      <c r="D19" s="218"/>
      <c r="E19" s="380">
        <f t="shared" si="0"/>
        <v>122724</v>
      </c>
      <c r="F19" s="381"/>
      <c r="G19" s="382">
        <f>N19</f>
        <v>122724</v>
      </c>
      <c r="H19" s="381"/>
      <c r="I19" s="167">
        <f>G19-E19</f>
        <v>0</v>
      </c>
      <c r="J19" s="173" t="s">
        <v>20</v>
      </c>
      <c r="K19" s="180"/>
      <c r="L19" s="124">
        <v>1000000</v>
      </c>
      <c r="M19" s="131">
        <f>($L$19-330000)*$M$33+($M$34+$M$35)+($L$19-330000)*$M$36+($M$37+$M$38)+($L$19-330000)*$M$39+($M$40+$M$41)</f>
        <v>122724</v>
      </c>
      <c r="N19" s="131">
        <f>($L$19-330000)*$N$33+($N$34+$N$35)+($L$19-330000)*$N$36+($N$37+$N$38)+($L$19-330000)*$N$39+($N$40+$N$41)</f>
        <v>122724</v>
      </c>
      <c r="P19" s="124">
        <v>6900000</v>
      </c>
      <c r="Q19" s="115">
        <v>28</v>
      </c>
      <c r="R19" s="120">
        <v>29</v>
      </c>
    </row>
    <row r="20" spans="2:20" ht="21" customHeight="1">
      <c r="B20" s="163"/>
      <c r="C20" s="229" t="s">
        <v>26</v>
      </c>
      <c r="D20" s="230"/>
      <c r="E20" s="353">
        <f t="shared" si="0"/>
        <v>-12.27</v>
      </c>
      <c r="F20" s="354"/>
      <c r="G20" s="379">
        <f>$N20</f>
        <v>-12.27</v>
      </c>
      <c r="H20" s="354"/>
      <c r="I20" s="166">
        <f>I19/12</f>
        <v>0</v>
      </c>
      <c r="J20" s="170" t="s">
        <v>20</v>
      </c>
      <c r="K20" s="180"/>
      <c r="M20" s="130">
        <f>-ROUND(SUM(M19/$L19*100),2)</f>
        <v>-12.27</v>
      </c>
      <c r="N20" s="130">
        <f>-ROUND(SUM(N19/$L19*100),2)</f>
        <v>-12.27</v>
      </c>
      <c r="P20" s="112" t="s">
        <v>35</v>
      </c>
      <c r="Q20" s="159">
        <f>IF((($P$19-330000)*$M$33+$M$34*2+$M$35)&lt;$Q$33,($P$19-330000)*$M$33+$M$34*2+$M$35,$Q$33)</f>
        <v>404901</v>
      </c>
      <c r="R20" s="159">
        <f>IF((($P$19-330000)*$N$33+$N$34*2+$N$35)&lt;$R$33,($P$19-330000)*$N$33+$N$34*2+$N$35,$R$33)</f>
        <v>404901</v>
      </c>
    </row>
    <row r="21" spans="2:20" ht="21" customHeight="1">
      <c r="B21" s="163"/>
      <c r="C21" s="217" t="s">
        <v>27</v>
      </c>
      <c r="D21" s="218"/>
      <c r="E21" s="380">
        <f t="shared" si="0"/>
        <v>451524</v>
      </c>
      <c r="F21" s="381"/>
      <c r="G21" s="382">
        <f>N21</f>
        <v>451524</v>
      </c>
      <c r="H21" s="381"/>
      <c r="I21" s="167">
        <f>G21-E21</f>
        <v>0</v>
      </c>
      <c r="J21" s="174" t="s">
        <v>20</v>
      </c>
      <c r="K21" s="180"/>
      <c r="L21" s="1">
        <f>P15</f>
        <v>4000000</v>
      </c>
      <c r="M21" s="101">
        <f>SUM(Q16:Q18)</f>
        <v>451524</v>
      </c>
      <c r="N21" s="101">
        <f>SUM(R16:R18)</f>
        <v>451524</v>
      </c>
      <c r="P21" s="113" t="s">
        <v>36</v>
      </c>
      <c r="Q21" s="160">
        <f>IF((($P$19-330000)*$M$36+$M$37*2+$M$38)&lt;$Q$34,($P$19-330000)*$M$36+$M$37*2+$M$38,$Q$34)</f>
        <v>168105</v>
      </c>
      <c r="R21" s="160">
        <f>IF((($P$19-330000)*$N$36+$N$37*2+$N$38)&lt;$R$34,($P$19-330000)*$N$36+$N$37*2+$N$38,$R$34)</f>
        <v>168105</v>
      </c>
      <c r="S21" s="124"/>
      <c r="T21" s="124"/>
    </row>
    <row r="22" spans="2:20" ht="21" customHeight="1">
      <c r="B22" s="164"/>
      <c r="C22" s="229" t="s">
        <v>39</v>
      </c>
      <c r="D22" s="230"/>
      <c r="E22" s="353">
        <f t="shared" si="0"/>
        <v>-11.29</v>
      </c>
      <c r="F22" s="354"/>
      <c r="G22" s="379">
        <f>$N22</f>
        <v>-11.29</v>
      </c>
      <c r="H22" s="354"/>
      <c r="I22" s="166">
        <f>I21/12</f>
        <v>0</v>
      </c>
      <c r="J22" s="175" t="s">
        <v>20</v>
      </c>
      <c r="K22" s="180"/>
      <c r="M22" s="130">
        <f>-ROUND(SUM(M21/$L21*100),2)</f>
        <v>-11.29</v>
      </c>
      <c r="N22" s="130">
        <f>-ROUND(SUM(N21/$L21*100),2)</f>
        <v>-11.29</v>
      </c>
      <c r="P22" s="114" t="s">
        <v>40</v>
      </c>
      <c r="Q22" s="161">
        <f>IF((($P$19-330000)*$M$39+$M$40*2+$M$41)&lt;$Q$35,($P$19-330000)*$M$39+$M$40*2+$M$41,$Q$35)</f>
        <v>160000</v>
      </c>
      <c r="R22" s="161">
        <f>IF((($P$19-330000)*$N$39+$N$40*2+$N$41)&lt;$R$35,($P$19-330000)*$N$39+$N$40*2+$N$41,$R$35)</f>
        <v>160000</v>
      </c>
      <c r="S22" s="124" t="s">
        <v>19</v>
      </c>
      <c r="T22" s="124" t="s">
        <v>19</v>
      </c>
    </row>
    <row r="23" spans="2:20" ht="21" customHeight="1">
      <c r="B23" s="342" t="s">
        <v>132</v>
      </c>
      <c r="C23" s="217" t="s">
        <v>4</v>
      </c>
      <c r="D23" s="218"/>
      <c r="E23" s="380">
        <f t="shared" si="0"/>
        <v>733006</v>
      </c>
      <c r="F23" s="381"/>
      <c r="G23" s="382">
        <f>N23</f>
        <v>733006</v>
      </c>
      <c r="H23" s="381"/>
      <c r="I23" s="167">
        <f>G23-E23</f>
        <v>0</v>
      </c>
      <c r="J23" s="174" t="s">
        <v>20</v>
      </c>
      <c r="K23" s="180"/>
      <c r="L23" s="1">
        <f>P19</f>
        <v>6900000</v>
      </c>
      <c r="M23" s="101">
        <f>SUM(Q20:Q22)</f>
        <v>733006</v>
      </c>
      <c r="N23" s="101">
        <f>SUM(R20:R22)</f>
        <v>733006</v>
      </c>
      <c r="P23" s="124">
        <v>7900000</v>
      </c>
      <c r="Q23" s="115">
        <v>28</v>
      </c>
      <c r="R23" s="120">
        <v>29</v>
      </c>
    </row>
    <row r="24" spans="2:20" ht="21" customHeight="1">
      <c r="B24" s="343"/>
      <c r="C24" s="229" t="s">
        <v>39</v>
      </c>
      <c r="D24" s="230"/>
      <c r="E24" s="353">
        <f t="shared" si="0"/>
        <v>-10.62</v>
      </c>
      <c r="F24" s="354"/>
      <c r="G24" s="379">
        <f>$N24</f>
        <v>-10.62</v>
      </c>
      <c r="H24" s="354"/>
      <c r="I24" s="166">
        <f>I23/12</f>
        <v>0</v>
      </c>
      <c r="J24" s="175" t="s">
        <v>20</v>
      </c>
      <c r="K24" s="180"/>
      <c r="M24" s="130">
        <f>-ROUND(SUM(M23/$L23*100),2)</f>
        <v>-10.62</v>
      </c>
      <c r="N24" s="130">
        <f>-ROUND(SUM(N23/$L23*100),2)</f>
        <v>-10.62</v>
      </c>
      <c r="P24" s="112" t="s">
        <v>35</v>
      </c>
      <c r="Q24" s="159">
        <f>IF((($P$23-330000)*$M$33+$M$34*2+$M$35)&lt;$Q$33,($P$23-330000)*$M$33+$M$34*2+$M$35,$Q$33)</f>
        <v>458201</v>
      </c>
      <c r="R24" s="159">
        <f>IF((($P$23-330000)*$N$33+$N$34*2+$N$35)&lt;$R$33,($P$23-330000)*$N$33+$N$34*2+$N$35,$R$33)</f>
        <v>458201</v>
      </c>
      <c r="S24" s="124"/>
      <c r="T24" s="124"/>
    </row>
    <row r="25" spans="2:20" ht="21" customHeight="1">
      <c r="B25" s="344" t="s">
        <v>119</v>
      </c>
      <c r="C25" s="217" t="s">
        <v>115</v>
      </c>
      <c r="D25" s="218"/>
      <c r="E25" s="380">
        <f t="shared" si="0"/>
        <v>808201</v>
      </c>
      <c r="F25" s="381"/>
      <c r="G25" s="382">
        <f>N25</f>
        <v>808201</v>
      </c>
      <c r="H25" s="381"/>
      <c r="I25" s="167">
        <f>G25-E25</f>
        <v>0</v>
      </c>
      <c r="J25" s="174" t="s">
        <v>20</v>
      </c>
      <c r="K25" s="180"/>
      <c r="L25" s="1">
        <f>P23</f>
        <v>7900000</v>
      </c>
      <c r="M25" s="101">
        <f>SUM(Q24:Q26)</f>
        <v>808201</v>
      </c>
      <c r="N25" s="101">
        <f>SUM(R24:R26)</f>
        <v>808201</v>
      </c>
      <c r="P25" s="113" t="s">
        <v>36</v>
      </c>
      <c r="Q25" s="160">
        <f>IF((($P$23-330000)*$M$36+$M$37*2+$M$38)&lt;$Q$34,($P$23-330000)*$M$36+$M$37*2+$M$38,$Q$34)</f>
        <v>190000</v>
      </c>
      <c r="R25" s="160">
        <f>IF((($P$23-330000)*$N$36+$N$37*2+$N$38)&lt;$R$34,($P$23-330000)*$N$36+$N$37*2+$N$38,$R$34)</f>
        <v>190000</v>
      </c>
      <c r="S25" s="124" t="s">
        <v>19</v>
      </c>
      <c r="T25" s="124" t="s">
        <v>19</v>
      </c>
    </row>
    <row r="26" spans="2:20" ht="21" customHeight="1">
      <c r="B26" s="338"/>
      <c r="C26" s="229" t="s">
        <v>39</v>
      </c>
      <c r="D26" s="230"/>
      <c r="E26" s="353">
        <f t="shared" si="0"/>
        <v>-10.23</v>
      </c>
      <c r="F26" s="354"/>
      <c r="G26" s="379">
        <f>$N26</f>
        <v>-10.23</v>
      </c>
      <c r="H26" s="354"/>
      <c r="I26" s="166">
        <f>I25/12</f>
        <v>0</v>
      </c>
      <c r="J26" s="175" t="s">
        <v>20</v>
      </c>
      <c r="K26" s="180"/>
      <c r="M26" s="130">
        <f>-ROUND(SUM(M25/$L25*100),2)</f>
        <v>-10.23</v>
      </c>
      <c r="N26" s="130">
        <f>-ROUND(SUM(N25/$L25*100),2)</f>
        <v>-10.23</v>
      </c>
      <c r="P26" s="114" t="s">
        <v>40</v>
      </c>
      <c r="Q26" s="161">
        <f>IF((($P$23-330000)*$M$39+$M$40*2+$M$41)&lt;$Q$35,($P$23-330000)*$M$39+$M$40*2+$M$41,$Q$35)</f>
        <v>160000</v>
      </c>
      <c r="R26" s="161">
        <f>IF((($P$23-330000)*$N$39+$N$40*2+$N$41)&lt;$R$35,($P$23-330000)*$N$39+$N$40*2+$N$41,$R$35)</f>
        <v>160000</v>
      </c>
      <c r="S26" s="124" t="s">
        <v>19</v>
      </c>
      <c r="T26" s="124" t="s">
        <v>19</v>
      </c>
    </row>
    <row r="27" spans="2:20" ht="21" customHeight="1">
      <c r="B27" s="345" t="s">
        <v>59</v>
      </c>
      <c r="C27" s="303" t="s">
        <v>15</v>
      </c>
      <c r="D27" s="257"/>
      <c r="E27" s="351">
        <f t="shared" si="0"/>
        <v>890000</v>
      </c>
      <c r="F27" s="352"/>
      <c r="G27" s="372">
        <f>N27</f>
        <v>890000</v>
      </c>
      <c r="H27" s="352"/>
      <c r="I27" s="167">
        <f>G27-E27</f>
        <v>0</v>
      </c>
      <c r="J27" s="176" t="s">
        <v>20</v>
      </c>
      <c r="K27" s="180"/>
      <c r="L27" s="1">
        <f>P27</f>
        <v>9550000</v>
      </c>
      <c r="M27" s="101">
        <f>SUM(Q28:Q30)</f>
        <v>890000</v>
      </c>
      <c r="N27" s="101">
        <f>SUM(R28:R30)</f>
        <v>890000</v>
      </c>
      <c r="P27" s="124">
        <v>9550000</v>
      </c>
      <c r="Q27" s="115">
        <v>28</v>
      </c>
      <c r="R27" s="120">
        <v>29</v>
      </c>
    </row>
    <row r="28" spans="2:20" ht="21" customHeight="1">
      <c r="B28" s="346"/>
      <c r="C28" s="223" t="s">
        <v>39</v>
      </c>
      <c r="D28" s="224"/>
      <c r="E28" s="373">
        <f t="shared" si="0"/>
        <v>-9.32</v>
      </c>
      <c r="F28" s="374"/>
      <c r="G28" s="375">
        <f>$N28</f>
        <v>-9.32</v>
      </c>
      <c r="H28" s="374"/>
      <c r="I28" s="168">
        <f>I27/12</f>
        <v>0</v>
      </c>
      <c r="J28" s="177" t="s">
        <v>20</v>
      </c>
      <c r="K28" s="180"/>
      <c r="M28" s="130">
        <f>-ROUND(SUM(M27/$L27*100),2)</f>
        <v>-9.32</v>
      </c>
      <c r="N28" s="130">
        <f>-ROUND(SUM(N27/$L27*100),2)</f>
        <v>-9.32</v>
      </c>
      <c r="P28" s="112" t="s">
        <v>35</v>
      </c>
      <c r="Q28" s="159">
        <f>IF((($P$27-330000)*$M$33+$M$34*2+$M$35)&lt;$Q$33,($P$27-330000)*$M$33+$M$34*2+$M$35,$Q$33)</f>
        <v>540000</v>
      </c>
      <c r="R28" s="159">
        <f>IF((($P$27-330000)*$N$33+$N$34*2+$N$35)&lt;$R$33,($P$27-330000)*$N$33+$N$34*2+$N$35,$R$33)</f>
        <v>540000</v>
      </c>
      <c r="S28" s="124" t="s">
        <v>19</v>
      </c>
      <c r="T28" s="124" t="s">
        <v>19</v>
      </c>
    </row>
    <row r="29" spans="2:20">
      <c r="M29" s="156"/>
      <c r="N29" s="156"/>
      <c r="P29" s="113" t="s">
        <v>36</v>
      </c>
      <c r="Q29" s="160">
        <f>IF((($P$27-330000)*$M$36+$M$37*2+$M$38)&lt;$Q$34,($P$27-330000)*$M$36+$M$37*2+$M$38,$Q$34)</f>
        <v>190000</v>
      </c>
      <c r="R29" s="160">
        <f>IF((($P$27-330000)*$N$36+$N$37*2+$N$38)&lt;$R$34,($P$27-330000)*$N$36+$N$37*2+$N$38,$R$34)</f>
        <v>190000</v>
      </c>
      <c r="S29" s="124" t="s">
        <v>19</v>
      </c>
      <c r="T29" s="124" t="s">
        <v>19</v>
      </c>
    </row>
    <row r="30" spans="2:20" ht="17.25" customHeight="1">
      <c r="B30" s="376" t="s">
        <v>122</v>
      </c>
      <c r="C30" s="376"/>
      <c r="D30" s="376"/>
      <c r="E30" s="376"/>
      <c r="F30" s="376"/>
      <c r="G30" s="376"/>
      <c r="H30" s="376"/>
      <c r="I30" s="376"/>
      <c r="J30" s="376"/>
      <c r="M30" s="157"/>
      <c r="N30" s="157"/>
      <c r="P30" s="114" t="s">
        <v>40</v>
      </c>
      <c r="Q30" s="160">
        <f>IF((($P$27-330000)*$M$39+$M$40*2+$M$41)&lt;$Q$35,($P$27-330000)*$M$39+$M$40*2+$M$41,$Q$35)</f>
        <v>160000</v>
      </c>
      <c r="R30" s="160">
        <f>IF((($P$27-330000)*$N$39+$N$40*2+$N$41)&lt;$R$35,($P$27-330000)*$N$39+$N$40*2+$N$41,$R$35)</f>
        <v>160000</v>
      </c>
      <c r="S30" s="124" t="s">
        <v>19</v>
      </c>
      <c r="T30" s="124" t="s">
        <v>19</v>
      </c>
    </row>
    <row r="31" spans="2:20" ht="7.5" customHeight="1">
      <c r="G31" s="41"/>
      <c r="H31" s="41"/>
      <c r="M31" s="12"/>
      <c r="N31" s="12"/>
    </row>
    <row r="32" spans="2:20" ht="25.5" customHeight="1">
      <c r="B32" s="295" t="s">
        <v>76</v>
      </c>
      <c r="C32" s="296"/>
      <c r="D32" s="297"/>
      <c r="E32" s="310" t="s">
        <v>110</v>
      </c>
      <c r="F32" s="323"/>
      <c r="G32" s="377" t="s">
        <v>126</v>
      </c>
      <c r="H32" s="378"/>
      <c r="I32" s="296" t="s">
        <v>79</v>
      </c>
      <c r="J32" s="325"/>
      <c r="M32" s="158"/>
      <c r="N32" s="158"/>
    </row>
    <row r="33" spans="2:18" ht="25.5" customHeight="1">
      <c r="B33" s="295" t="s">
        <v>8</v>
      </c>
      <c r="C33" s="296"/>
      <c r="D33" s="297"/>
      <c r="E33" s="349">
        <v>0.193</v>
      </c>
      <c r="F33" s="350"/>
      <c r="G33" s="368">
        <v>0.1978</v>
      </c>
      <c r="H33" s="369"/>
      <c r="I33" s="370">
        <f t="shared" ref="I33:I40" si="1">G33-E33</f>
        <v>4.7999999999999987E-3</v>
      </c>
      <c r="J33" s="371"/>
      <c r="L33" s="1" t="s">
        <v>111</v>
      </c>
      <c r="M33" s="124">
        <v>5.33E-2</v>
      </c>
      <c r="N33" s="124">
        <v>5.33E-2</v>
      </c>
      <c r="P33" s="1" t="s">
        <v>100</v>
      </c>
      <c r="Q33" s="124">
        <v>540000</v>
      </c>
      <c r="R33" s="124">
        <v>540000</v>
      </c>
    </row>
    <row r="34" spans="2:18" ht="25.5" customHeight="1">
      <c r="B34" s="282" t="s">
        <v>107</v>
      </c>
      <c r="C34" s="283"/>
      <c r="D34" s="284"/>
      <c r="E34" s="347">
        <v>0.14699999999999999</v>
      </c>
      <c r="F34" s="348"/>
      <c r="G34" s="355">
        <v>0.1532</v>
      </c>
      <c r="H34" s="356"/>
      <c r="I34" s="348">
        <f t="shared" si="1"/>
        <v>6.2000000000000111E-3</v>
      </c>
      <c r="J34" s="357"/>
      <c r="L34" s="1" t="s">
        <v>1</v>
      </c>
      <c r="M34" s="124">
        <v>21360</v>
      </c>
      <c r="N34" s="124">
        <v>21360</v>
      </c>
      <c r="P34" s="1" t="s">
        <v>117</v>
      </c>
      <c r="Q34" s="124">
        <v>190000</v>
      </c>
      <c r="R34" s="124">
        <v>190000</v>
      </c>
    </row>
    <row r="35" spans="2:18" ht="25.5" customHeight="1">
      <c r="B35" s="282" t="s">
        <v>85</v>
      </c>
      <c r="C35" s="283"/>
      <c r="D35" s="284"/>
      <c r="E35" s="347">
        <v>0.16900000000000001</v>
      </c>
      <c r="F35" s="348"/>
      <c r="G35" s="355">
        <v>0.17030000000000001</v>
      </c>
      <c r="H35" s="356"/>
      <c r="I35" s="348">
        <f t="shared" si="1"/>
        <v>1.2999999999999956E-3</v>
      </c>
      <c r="J35" s="357"/>
      <c r="L35" s="1" t="s">
        <v>112</v>
      </c>
      <c r="M35" s="124">
        <v>12000</v>
      </c>
      <c r="N35" s="124">
        <v>12000</v>
      </c>
      <c r="P35" s="1" t="s">
        <v>116</v>
      </c>
      <c r="Q35" s="124">
        <v>160000</v>
      </c>
      <c r="R35" s="124">
        <v>160000</v>
      </c>
    </row>
    <row r="36" spans="2:18" ht="25.5" customHeight="1">
      <c r="B36" s="282" t="s">
        <v>128</v>
      </c>
      <c r="C36" s="283"/>
      <c r="D36" s="284"/>
      <c r="E36" s="347">
        <v>0.188</v>
      </c>
      <c r="F36" s="348"/>
      <c r="G36" s="355">
        <v>0.1822</v>
      </c>
      <c r="H36" s="356"/>
      <c r="I36" s="348">
        <f t="shared" si="1"/>
        <v>-5.7999999999999996E-3</v>
      </c>
      <c r="J36" s="357"/>
      <c r="L36" s="1" t="s">
        <v>113</v>
      </c>
      <c r="M36" s="124">
        <v>2.2499999999999999E-2</v>
      </c>
      <c r="N36" s="124">
        <v>2.2499999999999999E-2</v>
      </c>
    </row>
    <row r="37" spans="2:18" ht="25.5" customHeight="1">
      <c r="B37" s="282" t="s">
        <v>129</v>
      </c>
      <c r="C37" s="283"/>
      <c r="D37" s="284"/>
      <c r="E37" s="347">
        <v>0.104</v>
      </c>
      <c r="F37" s="348"/>
      <c r="G37" s="355">
        <v>9.35E-2</v>
      </c>
      <c r="H37" s="356"/>
      <c r="I37" s="348">
        <f t="shared" si="1"/>
        <v>-1.0499999999999995E-2</v>
      </c>
      <c r="J37" s="357"/>
      <c r="L37" s="1" t="s">
        <v>1</v>
      </c>
      <c r="M37" s="124">
        <v>7800</v>
      </c>
      <c r="N37" s="124">
        <v>7800</v>
      </c>
    </row>
    <row r="38" spans="2:18" ht="25.5" customHeight="1">
      <c r="B38" s="282" t="s">
        <v>127</v>
      </c>
      <c r="C38" s="283"/>
      <c r="D38" s="284"/>
      <c r="E38" s="347">
        <v>5.3999999999999999E-2</v>
      </c>
      <c r="F38" s="348"/>
      <c r="G38" s="355">
        <v>5.6000000000000001E-2</v>
      </c>
      <c r="H38" s="356"/>
      <c r="I38" s="348">
        <f t="shared" si="1"/>
        <v>2.0000000000000018E-3</v>
      </c>
      <c r="J38" s="357"/>
      <c r="L38" s="1" t="s">
        <v>112</v>
      </c>
      <c r="M38" s="124">
        <v>4680</v>
      </c>
      <c r="N38" s="124">
        <v>4680</v>
      </c>
    </row>
    <row r="39" spans="2:18" ht="25.5" customHeight="1">
      <c r="B39" s="282" t="s">
        <v>87</v>
      </c>
      <c r="C39" s="283"/>
      <c r="D39" s="284"/>
      <c r="E39" s="347">
        <v>4.2000000000000003E-2</v>
      </c>
      <c r="F39" s="348"/>
      <c r="G39" s="355">
        <v>4.0399999999999998E-2</v>
      </c>
      <c r="H39" s="356"/>
      <c r="I39" s="348">
        <f t="shared" si="1"/>
        <v>-1.6000000000000042E-3</v>
      </c>
      <c r="J39" s="357"/>
      <c r="L39" s="1" t="s">
        <v>114</v>
      </c>
      <c r="M39" s="124">
        <v>2.1399999999999999E-2</v>
      </c>
      <c r="N39" s="124">
        <v>2.1399999999999999E-2</v>
      </c>
    </row>
    <row r="40" spans="2:18" ht="25.5" customHeight="1">
      <c r="B40" s="268" t="s">
        <v>71</v>
      </c>
      <c r="C40" s="269"/>
      <c r="D40" s="270"/>
      <c r="E40" s="358">
        <v>0.10299999999999999</v>
      </c>
      <c r="F40" s="359"/>
      <c r="G40" s="360">
        <v>0.1066</v>
      </c>
      <c r="H40" s="361"/>
      <c r="I40" s="362">
        <f t="shared" si="1"/>
        <v>3.600000000000006E-3</v>
      </c>
      <c r="J40" s="363"/>
      <c r="L40" s="1" t="s">
        <v>1</v>
      </c>
      <c r="M40" s="124">
        <v>8040</v>
      </c>
      <c r="N40" s="124">
        <v>8040</v>
      </c>
    </row>
    <row r="41" spans="2:18" ht="25.5" customHeight="1">
      <c r="B41" s="268" t="s">
        <v>88</v>
      </c>
      <c r="C41" s="269"/>
      <c r="D41" s="270"/>
      <c r="E41" s="364">
        <f>SUM(E33:E40)</f>
        <v>1.0000000000000002</v>
      </c>
      <c r="F41" s="365"/>
      <c r="G41" s="366">
        <f>SUM(G33:G40)</f>
        <v>1</v>
      </c>
      <c r="H41" s="367"/>
      <c r="I41" s="362">
        <f>SUM(I33:I40)</f>
        <v>1.3877787807814457E-17</v>
      </c>
      <c r="J41" s="363"/>
      <c r="L41" s="1" t="s">
        <v>112</v>
      </c>
      <c r="M41" s="124">
        <v>3720</v>
      </c>
      <c r="N41" s="124">
        <v>3720</v>
      </c>
    </row>
    <row r="42" spans="2:18" ht="21" customHeight="1">
      <c r="C42" s="1"/>
      <c r="D42" s="1"/>
    </row>
    <row r="43" spans="2:18" ht="21" customHeight="1">
      <c r="C43" s="1"/>
      <c r="D43" s="1"/>
    </row>
    <row r="45" spans="2:18">
      <c r="C45" s="1"/>
      <c r="D45" s="1"/>
    </row>
    <row r="46" spans="2:18">
      <c r="C46" s="1"/>
      <c r="D46" s="1"/>
    </row>
    <row r="47" spans="2:18">
      <c r="C47" s="1"/>
      <c r="D47" s="1"/>
    </row>
    <row r="48" spans="2:18">
      <c r="C48" s="1"/>
      <c r="D48" s="1"/>
    </row>
    <row r="49" spans="3:4">
      <c r="C49" s="1"/>
      <c r="D49" s="1"/>
    </row>
    <row r="50" spans="3:4">
      <c r="C50" s="1"/>
      <c r="D50" s="1"/>
    </row>
    <row r="51" spans="3:4">
      <c r="C51" s="1"/>
      <c r="D51" s="1"/>
    </row>
    <row r="52" spans="3:4">
      <c r="C52" s="1"/>
      <c r="D52" s="1"/>
    </row>
    <row r="53" spans="3:4">
      <c r="C53" s="1"/>
      <c r="D53" s="1"/>
    </row>
    <row r="54" spans="3:4">
      <c r="C54" s="1"/>
      <c r="D54" s="1"/>
    </row>
    <row r="55" spans="3:4">
      <c r="C55" s="1"/>
      <c r="D55" s="1"/>
    </row>
  </sheetData>
  <mergeCells count="120">
    <mergeCell ref="B4:J4"/>
    <mergeCell ref="C6:D6"/>
    <mergeCell ref="E6:F6"/>
    <mergeCell ref="G6:H6"/>
    <mergeCell ref="I6:J6"/>
    <mergeCell ref="C7:D7"/>
    <mergeCell ref="E7:F7"/>
    <mergeCell ref="G7:H7"/>
    <mergeCell ref="C8:D8"/>
    <mergeCell ref="E8:F8"/>
    <mergeCell ref="G8:H8"/>
    <mergeCell ref="B7:B10"/>
    <mergeCell ref="G12:H12"/>
    <mergeCell ref="C13:D13"/>
    <mergeCell ref="E13:F13"/>
    <mergeCell ref="G13:H13"/>
    <mergeCell ref="C14:D14"/>
    <mergeCell ref="E14:F14"/>
    <mergeCell ref="G14:H14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G18:H18"/>
    <mergeCell ref="C19:D19"/>
    <mergeCell ref="E19:F19"/>
    <mergeCell ref="G19:H19"/>
    <mergeCell ref="C20:D20"/>
    <mergeCell ref="E20:F20"/>
    <mergeCell ref="G20:H20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G24:H24"/>
    <mergeCell ref="C25:D25"/>
    <mergeCell ref="E25:F25"/>
    <mergeCell ref="G25:H25"/>
    <mergeCell ref="C26:D26"/>
    <mergeCell ref="E26:F26"/>
    <mergeCell ref="G26:H26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G27:H27"/>
    <mergeCell ref="C28:D28"/>
    <mergeCell ref="E28:F28"/>
    <mergeCell ref="G28:H28"/>
    <mergeCell ref="B30:J30"/>
    <mergeCell ref="B32:D32"/>
    <mergeCell ref="E32:F32"/>
    <mergeCell ref="G32:H32"/>
    <mergeCell ref="I32:J32"/>
    <mergeCell ref="G33:H33"/>
    <mergeCell ref="I33:J33"/>
    <mergeCell ref="B34:D34"/>
    <mergeCell ref="E34:F34"/>
    <mergeCell ref="G34:H34"/>
    <mergeCell ref="I34:J34"/>
    <mergeCell ref="B35:D35"/>
    <mergeCell ref="E35:F35"/>
    <mergeCell ref="G35:H35"/>
    <mergeCell ref="I35:J35"/>
    <mergeCell ref="G36:H36"/>
    <mergeCell ref="I36:J36"/>
    <mergeCell ref="B37:D37"/>
    <mergeCell ref="E37:F37"/>
    <mergeCell ref="G37:H37"/>
    <mergeCell ref="I37:J37"/>
    <mergeCell ref="B38:D38"/>
    <mergeCell ref="E38:F38"/>
    <mergeCell ref="G38:H38"/>
    <mergeCell ref="I38:J38"/>
    <mergeCell ref="G39:H39"/>
    <mergeCell ref="I39:J39"/>
    <mergeCell ref="B40:D40"/>
    <mergeCell ref="E40:F40"/>
    <mergeCell ref="G40:H40"/>
    <mergeCell ref="I40:J40"/>
    <mergeCell ref="B41:D41"/>
    <mergeCell ref="E41:F41"/>
    <mergeCell ref="G41:H41"/>
    <mergeCell ref="I41:J41"/>
    <mergeCell ref="B11:B12"/>
    <mergeCell ref="B13:B14"/>
    <mergeCell ref="B15:B16"/>
    <mergeCell ref="B17:B18"/>
    <mergeCell ref="B23:B24"/>
    <mergeCell ref="B25:B26"/>
    <mergeCell ref="B27:B28"/>
    <mergeCell ref="B39:D39"/>
    <mergeCell ref="E39:F39"/>
    <mergeCell ref="B36:D36"/>
    <mergeCell ref="E36:F36"/>
    <mergeCell ref="B33:D33"/>
    <mergeCell ref="E33:F33"/>
    <mergeCell ref="C27:D27"/>
    <mergeCell ref="E27:F27"/>
    <mergeCell ref="C24:D24"/>
    <mergeCell ref="E24:F24"/>
    <mergeCell ref="C18:D18"/>
    <mergeCell ref="E18:F18"/>
    <mergeCell ref="C12:D12"/>
    <mergeCell ref="E12:F12"/>
  </mergeCells>
  <phoneticPr fontId="2"/>
  <printOptions horizontalCentered="1"/>
  <pageMargins left="0.59055118110236227" right="0.59055118110236227" top="0.98425196850393704" bottom="0.78740157480314965" header="0.31496062992125984" footer="0.31496062992125984"/>
  <pageSetup paperSize="9" scale="91" orientation="portrait" r:id="rId1"/>
  <headerFooter>
    <oddFooter xml:space="preserve">&amp;C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  <pageSetUpPr fitToPage="1"/>
  </sheetPr>
  <dimension ref="A1:U55"/>
  <sheetViews>
    <sheetView view="pageBreakPreview" zoomScaleNormal="70" zoomScaleSheetLayoutView="100" workbookViewId="0">
      <selection activeCell="O33" sqref="O33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3.625" style="1" customWidth="1"/>
    <col min="10" max="10" width="3.375" style="1" customWidth="1"/>
    <col min="11" max="12" width="3.875" style="2" customWidth="1"/>
    <col min="13" max="13" width="16.875" style="1" customWidth="1"/>
    <col min="14" max="15" width="12.125" style="1" bestFit="1" customWidth="1"/>
    <col min="16" max="16" width="9" style="1" customWidth="1"/>
    <col min="17" max="17" width="12.75" style="1" bestFit="1" customWidth="1"/>
    <col min="18" max="18" width="10.375" style="1" customWidth="1"/>
    <col min="19" max="19" width="10.5" style="1" bestFit="1" customWidth="1"/>
    <col min="20" max="20" width="9" style="1" customWidth="1"/>
    <col min="21" max="16384" width="9" style="1"/>
  </cols>
  <sheetData>
    <row r="1" spans="1:19" ht="4.5" customHeight="1"/>
    <row r="2" spans="1:19" ht="27" customHeight="1">
      <c r="B2" s="140" t="s">
        <v>121</v>
      </c>
      <c r="C2" s="141"/>
      <c r="D2" s="141"/>
      <c r="E2" s="141"/>
      <c r="F2" s="141"/>
      <c r="G2" s="141"/>
      <c r="H2" s="141"/>
      <c r="I2" s="181" t="s">
        <v>123</v>
      </c>
      <c r="J2" s="141"/>
      <c r="K2" s="141"/>
      <c r="L2" s="141"/>
    </row>
    <row r="3" spans="1:19" ht="11.25" customHeight="1">
      <c r="A3" s="3"/>
      <c r="B3" s="5"/>
      <c r="C3" s="10"/>
      <c r="D3" s="10"/>
      <c r="E3" s="22"/>
      <c r="F3" s="22"/>
      <c r="G3" s="40"/>
      <c r="H3" s="40"/>
      <c r="I3" s="22"/>
      <c r="J3" s="22"/>
      <c r="K3" s="10"/>
      <c r="L3" s="10"/>
    </row>
    <row r="4" spans="1:19" ht="21">
      <c r="B4" s="376" t="s">
        <v>120</v>
      </c>
      <c r="C4" s="376"/>
      <c r="D4" s="376"/>
      <c r="E4" s="376"/>
      <c r="F4" s="376"/>
      <c r="G4" s="376"/>
      <c r="H4" s="376"/>
      <c r="I4" s="376"/>
      <c r="J4" s="376"/>
      <c r="N4" s="1" t="s">
        <v>118</v>
      </c>
    </row>
    <row r="5" spans="1:19" ht="7.5" customHeight="1">
      <c r="G5" s="41"/>
      <c r="H5" s="41"/>
    </row>
    <row r="6" spans="1:19" ht="39" customHeight="1">
      <c r="B6" s="162"/>
      <c r="C6" s="245" t="s">
        <v>25</v>
      </c>
      <c r="D6" s="246"/>
      <c r="E6" s="247" t="s">
        <v>150</v>
      </c>
      <c r="F6" s="248"/>
      <c r="G6" s="247" t="s">
        <v>149</v>
      </c>
      <c r="H6" s="248"/>
      <c r="I6" s="385" t="s">
        <v>60</v>
      </c>
      <c r="J6" s="335"/>
      <c r="K6" s="126"/>
      <c r="L6" s="126"/>
      <c r="N6" s="185">
        <v>29</v>
      </c>
      <c r="O6" s="185">
        <v>30</v>
      </c>
    </row>
    <row r="7" spans="1:19" ht="21" customHeight="1">
      <c r="B7" s="343" t="s">
        <v>73</v>
      </c>
      <c r="C7" s="238" t="s">
        <v>52</v>
      </c>
      <c r="D7" s="239"/>
      <c r="E7" s="386">
        <v>17280</v>
      </c>
      <c r="F7" s="387"/>
      <c r="G7" s="388">
        <f>O7</f>
        <v>17862</v>
      </c>
      <c r="H7" s="387"/>
      <c r="I7" s="165">
        <f>G7-E7</f>
        <v>582</v>
      </c>
      <c r="J7" s="169" t="s">
        <v>20</v>
      </c>
      <c r="K7" s="178"/>
      <c r="L7" s="91"/>
      <c r="M7" s="183">
        <v>0</v>
      </c>
      <c r="N7" s="131">
        <f>($N$34+$N$35)*0.3+($N$37+$N$38)*0.3+($N$40+$N$41)*0.3</f>
        <v>17280</v>
      </c>
      <c r="O7" s="131">
        <f>($O$34+$O$35)*0.3+($O$37+$O$38)*0.3+($O$40+$O$41)*0.3</f>
        <v>17862</v>
      </c>
      <c r="Q7" s="116"/>
      <c r="R7" s="116"/>
    </row>
    <row r="8" spans="1:19" ht="21" customHeight="1">
      <c r="B8" s="389"/>
      <c r="C8" s="229" t="s">
        <v>26</v>
      </c>
      <c r="D8" s="312"/>
      <c r="E8" s="353"/>
      <c r="F8" s="354"/>
      <c r="G8" s="379"/>
      <c r="H8" s="354"/>
      <c r="I8" s="166">
        <f>I7/12</f>
        <v>48.5</v>
      </c>
      <c r="J8" s="170" t="s">
        <v>20</v>
      </c>
      <c r="K8" s="178"/>
      <c r="L8" s="91"/>
      <c r="M8" s="183"/>
      <c r="N8" s="130"/>
      <c r="O8" s="130"/>
      <c r="Q8" s="116"/>
      <c r="R8" s="116"/>
    </row>
    <row r="9" spans="1:19" ht="21" customHeight="1">
      <c r="B9" s="389"/>
      <c r="C9" s="217" t="s">
        <v>13</v>
      </c>
      <c r="D9" s="218"/>
      <c r="E9" s="380">
        <v>17280</v>
      </c>
      <c r="F9" s="381"/>
      <c r="G9" s="382">
        <f>O9</f>
        <v>17862</v>
      </c>
      <c r="H9" s="381"/>
      <c r="I9" s="167">
        <f>G9-E9</f>
        <v>582</v>
      </c>
      <c r="J9" s="171" t="s">
        <v>20</v>
      </c>
      <c r="K9" s="179"/>
      <c r="L9" s="10"/>
      <c r="M9" s="184">
        <v>330000</v>
      </c>
      <c r="N9" s="131">
        <f>($M$9-330000)*$N$33+($N$34+$N$35)*0.3+($M$9-330000)*$N$36+($N$37+$N$38)*0.3+($M$9-330000)*$N$39+($N$40+$N$41)*0.3</f>
        <v>17280</v>
      </c>
      <c r="O9" s="131">
        <f>($M$9-330000)*$O$33+($O$34+$O$35)*0.3+($M$9-330000)*$O$36+($O$37+$O$38)*0.3+($M$9-330000)*$O$39+($O$40+$O$41)*0.3</f>
        <v>17862</v>
      </c>
      <c r="Q9" s="116"/>
      <c r="R9" s="116"/>
    </row>
    <row r="10" spans="1:19" ht="21" customHeight="1">
      <c r="B10" s="389"/>
      <c r="C10" s="229" t="s">
        <v>53</v>
      </c>
      <c r="D10" s="312"/>
      <c r="E10" s="353">
        <v>-5.24</v>
      </c>
      <c r="F10" s="354"/>
      <c r="G10" s="379">
        <f>$O10</f>
        <v>-5.41</v>
      </c>
      <c r="H10" s="354"/>
      <c r="I10" s="166">
        <f>I9/12</f>
        <v>48.5</v>
      </c>
      <c r="J10" s="171" t="s">
        <v>20</v>
      </c>
      <c r="K10" s="179"/>
      <c r="L10" s="10"/>
      <c r="M10" s="184"/>
      <c r="N10" s="130">
        <f>-ROUND(SUM(N9/$M9*100),2)</f>
        <v>-5.24</v>
      </c>
      <c r="O10" s="130">
        <f>-ROUND(SUM(O9/$M9*100),2)</f>
        <v>-5.41</v>
      </c>
      <c r="Q10" s="116"/>
      <c r="R10" s="116"/>
    </row>
    <row r="11" spans="1:19" ht="21" customHeight="1">
      <c r="B11" s="338" t="s">
        <v>67</v>
      </c>
      <c r="C11" s="217" t="s">
        <v>131</v>
      </c>
      <c r="D11" s="218"/>
      <c r="E11" s="380">
        <v>42408</v>
      </c>
      <c r="F11" s="381"/>
      <c r="G11" s="382">
        <f>O11</f>
        <v>43560</v>
      </c>
      <c r="H11" s="381"/>
      <c r="I11" s="167">
        <f>G11-E11</f>
        <v>1152</v>
      </c>
      <c r="J11" s="172" t="s">
        <v>20</v>
      </c>
      <c r="K11" s="179"/>
      <c r="L11" s="10"/>
      <c r="M11" s="184">
        <v>470000</v>
      </c>
      <c r="N11" s="131">
        <f>($M$11-330000)*$N$33+($N$34+$N$35)*0.5+($M$11-330000)*$N$36+($N$37+$N$38)*0.5+($M$11-330000)*$N$39+($N$40+$N$41)*0.5</f>
        <v>42408</v>
      </c>
      <c r="O11" s="131">
        <f>($M$11-330000)*$O$33+($O$34+$O$35)*0.5+($M$11-330000)*$O$36+($O$37+$O$38)*0.5+($M$11-330000)*$O$39+($O$40+$O$41)*0.5</f>
        <v>43560</v>
      </c>
      <c r="Q11" s="116"/>
      <c r="R11" s="116"/>
    </row>
    <row r="12" spans="1:19" ht="21" customHeight="1">
      <c r="B12" s="339"/>
      <c r="C12" s="229" t="s">
        <v>53</v>
      </c>
      <c r="D12" s="230"/>
      <c r="E12" s="353">
        <v>-9.02</v>
      </c>
      <c r="F12" s="354"/>
      <c r="G12" s="379">
        <f>$O12</f>
        <v>-9.27</v>
      </c>
      <c r="H12" s="354"/>
      <c r="I12" s="166">
        <f>I11/12</f>
        <v>96</v>
      </c>
      <c r="J12" s="170" t="s">
        <v>20</v>
      </c>
      <c r="K12" s="179"/>
      <c r="L12" s="10"/>
      <c r="M12" s="184"/>
      <c r="N12" s="130">
        <f>-ROUND(SUM(N11/$M11*100),2)</f>
        <v>-9.02</v>
      </c>
      <c r="O12" s="130">
        <f>-ROUND(SUM(O11/$M11*100),2)</f>
        <v>-9.27</v>
      </c>
    </row>
    <row r="13" spans="1:19" ht="21" customHeight="1">
      <c r="B13" s="340"/>
      <c r="C13" s="217" t="s">
        <v>124</v>
      </c>
      <c r="D13" s="218"/>
      <c r="E13" s="380">
        <v>55044</v>
      </c>
      <c r="F13" s="381"/>
      <c r="G13" s="382">
        <f>O13</f>
        <v>56365</v>
      </c>
      <c r="H13" s="381"/>
      <c r="I13" s="167">
        <f>G13-E13</f>
        <v>1321</v>
      </c>
      <c r="J13" s="173" t="s">
        <v>20</v>
      </c>
      <c r="K13" s="179"/>
      <c r="L13" s="10"/>
      <c r="M13" s="184">
        <v>600000</v>
      </c>
      <c r="N13" s="131">
        <f>($M$13-330000)*$N$33+($N$34+$N$35)*0.8+($M$13-330000)*$N$36+($N$37+$N$38)*0.8+($M$13-330000)*$N$39+($N$40+$N$41)*0.8</f>
        <v>72324</v>
      </c>
      <c r="O13" s="131">
        <f>($M$13-330000)*$O$33+($O$34+$O$35)*0.5+($M$13-330000)*$O$36+($O$37+$O$38)*0.5+($M$13-330000)*$O$39+($O$40+$O$41)*0.5</f>
        <v>56365</v>
      </c>
    </row>
    <row r="14" spans="1:19" ht="21" customHeight="1">
      <c r="B14" s="341"/>
      <c r="C14" s="229" t="s">
        <v>26</v>
      </c>
      <c r="D14" s="230"/>
      <c r="E14" s="353">
        <v>-9.17</v>
      </c>
      <c r="F14" s="354"/>
      <c r="G14" s="379">
        <f>$O14</f>
        <v>-9.39</v>
      </c>
      <c r="H14" s="354"/>
      <c r="I14" s="166">
        <f>I13/12</f>
        <v>110.08333333333333</v>
      </c>
      <c r="J14" s="170" t="s">
        <v>20</v>
      </c>
      <c r="K14" s="179"/>
      <c r="L14" s="10"/>
      <c r="M14" s="184"/>
      <c r="N14" s="130">
        <f>-ROUND(SUM(N13/$M13*100),2)</f>
        <v>-12.05</v>
      </c>
      <c r="O14" s="130">
        <f>-ROUND(SUM(O13/$M13*100),2)</f>
        <v>-9.39</v>
      </c>
      <c r="R14" s="124"/>
    </row>
    <row r="15" spans="1:19" ht="21" customHeight="1">
      <c r="B15" s="339" t="s">
        <v>63</v>
      </c>
      <c r="C15" s="217" t="s">
        <v>130</v>
      </c>
      <c r="D15" s="218"/>
      <c r="E15" s="380">
        <v>83016</v>
      </c>
      <c r="F15" s="381"/>
      <c r="G15" s="382">
        <f>O15</f>
        <v>85062</v>
      </c>
      <c r="H15" s="381"/>
      <c r="I15" s="167">
        <f>G15-E15</f>
        <v>2046</v>
      </c>
      <c r="J15" s="172" t="s">
        <v>20</v>
      </c>
      <c r="K15" s="179"/>
      <c r="L15" s="10"/>
      <c r="M15" s="184">
        <v>710000</v>
      </c>
      <c r="N15" s="131">
        <f>($M$15-330000)*$N$33+($N$34+$N$35)*0.8+($M$15-330000)*$N$36+($N$37+$N$38)*0.8+($M$15-330000)*$N$39+($N$40+$N$41)*0.8</f>
        <v>83016</v>
      </c>
      <c r="O15" s="131">
        <f>($M$15-330000)*$O$33+($O$34+$O$35)*0.8+($M$15-330000)*$O$36+($O$37+$O$38)*0.8+($M$15-330000)*$O$39+($O$40+$O$41)*0.8</f>
        <v>85062</v>
      </c>
      <c r="Q15" s="187">
        <v>4000000</v>
      </c>
      <c r="R15" s="115">
        <v>29</v>
      </c>
      <c r="S15" s="120">
        <v>30</v>
      </c>
    </row>
    <row r="16" spans="1:19" ht="21" customHeight="1">
      <c r="B16" s="339"/>
      <c r="C16" s="229" t="s">
        <v>53</v>
      </c>
      <c r="D16" s="230"/>
      <c r="E16" s="353">
        <v>-11.69</v>
      </c>
      <c r="F16" s="354"/>
      <c r="G16" s="379">
        <f>$O16</f>
        <v>-11.98</v>
      </c>
      <c r="H16" s="354"/>
      <c r="I16" s="166">
        <f>I15/12</f>
        <v>170.5</v>
      </c>
      <c r="J16" s="170" t="s">
        <v>20</v>
      </c>
      <c r="K16" s="179"/>
      <c r="L16" s="10"/>
      <c r="M16" s="184"/>
      <c r="N16" s="130">
        <f>-ROUND(SUM(N15/$M15*100),2)</f>
        <v>-11.69</v>
      </c>
      <c r="O16" s="130">
        <f>-ROUND(SUM(O15/$M15*100),2)</f>
        <v>-11.98</v>
      </c>
      <c r="Q16" s="112" t="s">
        <v>35</v>
      </c>
      <c r="R16" s="159">
        <f>IF((($Q$15-330000)*$N$33+$N$34*2+$N$35)&lt;$R$33,($Q$15-330000)*$N$33+$N$34*2+$N$35,$R$33)</f>
        <v>250331</v>
      </c>
      <c r="S16" s="159">
        <f>IF((($Q$15-330000)*$O$33+$O$34*2+$O$35)&lt;$S$33,($Q$15-330000)*$O$33+$O$34*2+$O$35,$S$33)</f>
        <v>254900</v>
      </c>
    </row>
    <row r="17" spans="2:21" ht="21" customHeight="1">
      <c r="B17" s="339"/>
      <c r="C17" s="217" t="s">
        <v>125</v>
      </c>
      <c r="D17" s="218"/>
      <c r="E17" s="380">
        <v>93708</v>
      </c>
      <c r="F17" s="381"/>
      <c r="G17" s="382">
        <f>O17</f>
        <v>95897</v>
      </c>
      <c r="H17" s="381"/>
      <c r="I17" s="167">
        <f>G17-E17</f>
        <v>2189</v>
      </c>
      <c r="J17" s="173" t="s">
        <v>20</v>
      </c>
      <c r="K17" s="179"/>
      <c r="L17" s="10"/>
      <c r="M17" s="184">
        <v>820000</v>
      </c>
      <c r="N17" s="131">
        <f>($M$17-330000)*$N$33+($N$34+$N$35)+($M$17-330000)*$N$36+($N$37+$N$38)+($M$17-330000)*$N$39+($N$40+$N$41)</f>
        <v>105228</v>
      </c>
      <c r="O17" s="131">
        <f>($M$17-330000)*$O$33+($O$34+$O$35)*0.8+($M$17-330000)*$O$36+($O$37+$O$38)*0.8+($M$17-330000)*$O$39+($O$40+$O$41)*0.8</f>
        <v>95897</v>
      </c>
      <c r="Q17" s="113" t="s">
        <v>36</v>
      </c>
      <c r="R17" s="160">
        <f>IF((($Q$15-330000)*$N$36+$N$37*2+$N$38)&lt;$R$34,($Q$15-330000)*$N$36+$N$37*2+$N$38,$R$34)</f>
        <v>102855</v>
      </c>
      <c r="S17" s="160">
        <f>IF((($Q$15-330000)*$O$36+$O$37*2+$O$38)&lt;$S$34,($Q$15-330000)*$O$36+$O$37*2+$O$38,$S$34)</f>
        <v>102855</v>
      </c>
      <c r="T17" s="124"/>
    </row>
    <row r="18" spans="2:21" ht="21" customHeight="1">
      <c r="B18" s="339"/>
      <c r="C18" s="229" t="s">
        <v>26</v>
      </c>
      <c r="D18" s="230"/>
      <c r="E18" s="353">
        <v>-11.43</v>
      </c>
      <c r="F18" s="354"/>
      <c r="G18" s="379">
        <f>$O18</f>
        <v>-11.69</v>
      </c>
      <c r="H18" s="354"/>
      <c r="I18" s="166">
        <f>I17/12</f>
        <v>182.41666666666666</v>
      </c>
      <c r="J18" s="170" t="s">
        <v>20</v>
      </c>
      <c r="K18" s="179"/>
      <c r="L18" s="10"/>
      <c r="M18" s="184"/>
      <c r="N18" s="130">
        <f>-ROUND(SUM(N17/$M17*100),2)</f>
        <v>-12.83</v>
      </c>
      <c r="O18" s="130">
        <f>-ROUND(SUM(O17/$M17*100),2)</f>
        <v>-11.69</v>
      </c>
      <c r="Q18" s="114" t="s">
        <v>40</v>
      </c>
      <c r="R18" s="161">
        <f>IF((($Q$15-330000)*$N$39+$N$40*2+$N$41)&lt;$R$35,($Q$15-330000)*$N$39+$N$40*2+$N$41,$R$35)</f>
        <v>98338</v>
      </c>
      <c r="S18" s="161">
        <f>IF((($Q$15-330000)*$O$39+$O$40*2+$O$41)&lt;$S$35,($Q$15-330000)*$O$39+$O$40*2+$O$41,$S$35)</f>
        <v>101140</v>
      </c>
      <c r="T18" s="124"/>
      <c r="U18" s="124"/>
    </row>
    <row r="19" spans="2:21" ht="21" customHeight="1">
      <c r="B19" s="163"/>
      <c r="C19" s="217" t="s">
        <v>45</v>
      </c>
      <c r="D19" s="218"/>
      <c r="E19" s="380">
        <v>122724</v>
      </c>
      <c r="F19" s="381"/>
      <c r="G19" s="382">
        <f>O19</f>
        <v>125535</v>
      </c>
      <c r="H19" s="381"/>
      <c r="I19" s="167">
        <f>G19-E19</f>
        <v>2811</v>
      </c>
      <c r="J19" s="173" t="s">
        <v>20</v>
      </c>
      <c r="K19" s="180"/>
      <c r="L19" s="182"/>
      <c r="M19" s="184">
        <v>1000000</v>
      </c>
      <c r="N19" s="131">
        <f>($M$19-330000)*$N$33+($N$34+$N$35)+($M$19-330000)*$N$36+($N$37+$N$38)+($M$19-330000)*$N$39+($N$40+$N$41)</f>
        <v>122724</v>
      </c>
      <c r="O19" s="131">
        <f>($M$19-330000)*$O$33+($O$34+$O$35)+($M$19-330000)*$O$36+($O$37+$O$38)+($M$19-330000)*$O$39+($O$40+$O$41)</f>
        <v>125535</v>
      </c>
      <c r="Q19" s="187">
        <v>6900000</v>
      </c>
      <c r="R19" s="115">
        <v>29</v>
      </c>
      <c r="S19" s="120">
        <v>30</v>
      </c>
    </row>
    <row r="20" spans="2:21" ht="21" customHeight="1">
      <c r="B20" s="163"/>
      <c r="C20" s="229" t="s">
        <v>26</v>
      </c>
      <c r="D20" s="230"/>
      <c r="E20" s="353">
        <v>-12.27</v>
      </c>
      <c r="F20" s="354"/>
      <c r="G20" s="379">
        <f>$O20</f>
        <v>-12.55</v>
      </c>
      <c r="H20" s="354"/>
      <c r="I20" s="166">
        <f>I19/12</f>
        <v>234.25</v>
      </c>
      <c r="J20" s="170" t="s">
        <v>20</v>
      </c>
      <c r="K20" s="180"/>
      <c r="L20" s="182"/>
      <c r="M20" s="184"/>
      <c r="N20" s="130">
        <f>-ROUND(SUM(N19/$M19*100),2)</f>
        <v>-12.27</v>
      </c>
      <c r="O20" s="130">
        <f>-ROUND(SUM(O19/$M19*100),2)</f>
        <v>-12.55</v>
      </c>
      <c r="Q20" s="112" t="s">
        <v>35</v>
      </c>
      <c r="R20" s="159">
        <f>IF((($Q$19-330000)*$N$33+$N$34*2+$N$35)&lt;$R$33,($Q$19-330000)*$N$33+$N$34*2+$N$35,$R$33)</f>
        <v>404901</v>
      </c>
      <c r="S20" s="159">
        <f>IF((($Q$19-330000)*$O$33+$O$34*2+$O$35)&lt;$S$33,($Q$19-330000)*$O$33+$O$34*2+$O$35,$S$33)</f>
        <v>411500</v>
      </c>
    </row>
    <row r="21" spans="2:21" ht="21" customHeight="1">
      <c r="B21" s="163"/>
      <c r="C21" s="217" t="s">
        <v>27</v>
      </c>
      <c r="D21" s="218"/>
      <c r="E21" s="380">
        <v>451524</v>
      </c>
      <c r="F21" s="381"/>
      <c r="G21" s="382">
        <f>O21</f>
        <v>458895</v>
      </c>
      <c r="H21" s="381"/>
      <c r="I21" s="167">
        <f>G21-E21</f>
        <v>7371</v>
      </c>
      <c r="J21" s="174" t="s">
        <v>20</v>
      </c>
      <c r="K21" s="180"/>
      <c r="L21" s="182"/>
      <c r="M21" s="116">
        <f>Q15</f>
        <v>4000000</v>
      </c>
      <c r="N21" s="101">
        <f>SUM(R16:R18)</f>
        <v>451524</v>
      </c>
      <c r="O21" s="101">
        <f>SUM(S16:S18)</f>
        <v>458895</v>
      </c>
      <c r="Q21" s="113" t="s">
        <v>36</v>
      </c>
      <c r="R21" s="160">
        <f>IF((($Q$19-330000)*$N$36+$N$37*2+$N$38)&lt;$R$34,($Q$19-330000)*$N$36+$N$37*2+$N$38,$R$34)</f>
        <v>168105</v>
      </c>
      <c r="S21" s="160">
        <f>IF((($Q$19-330000)*$O$36+$O$37*2+$O$38)&lt;$S$34,($Q$19-330000)*$O$36+$O$37*2+$O$38,$S$34)</f>
        <v>168105</v>
      </c>
      <c r="T21" s="124"/>
      <c r="U21" s="124"/>
    </row>
    <row r="22" spans="2:21" ht="21" customHeight="1">
      <c r="B22" s="164"/>
      <c r="C22" s="229" t="s">
        <v>39</v>
      </c>
      <c r="D22" s="230"/>
      <c r="E22" s="353">
        <v>-11.29</v>
      </c>
      <c r="F22" s="354"/>
      <c r="G22" s="379">
        <f>$O22</f>
        <v>-11.47</v>
      </c>
      <c r="H22" s="354"/>
      <c r="I22" s="166">
        <f>I21/12</f>
        <v>614.25</v>
      </c>
      <c r="J22" s="175" t="s">
        <v>20</v>
      </c>
      <c r="K22" s="180"/>
      <c r="L22" s="182"/>
      <c r="M22" s="116"/>
      <c r="N22" s="130">
        <f>-ROUND(SUM(N21/$M21*100),2)</f>
        <v>-11.29</v>
      </c>
      <c r="O22" s="130">
        <f>-ROUND(SUM(O21/$M21*100),2)</f>
        <v>-11.47</v>
      </c>
      <c r="Q22" s="114" t="s">
        <v>40</v>
      </c>
      <c r="R22" s="161">
        <f>IF((($Q$19-330000)*$N$39+$N$40*2+$N$41)&lt;$R$35,($Q$19-330000)*$N$39+$N$40*2+$N$41,$R$35)</f>
        <v>160000</v>
      </c>
      <c r="S22" s="161">
        <f>IF((($Q$19-330000)*$O$39+$O$40*2+$O$41)&lt;$S$35,($Q$19-330000)*$O$39+$O$40*2+$O$41,$S$35)</f>
        <v>160000</v>
      </c>
      <c r="T22" s="124" t="s">
        <v>19</v>
      </c>
      <c r="U22" s="124" t="s">
        <v>19</v>
      </c>
    </row>
    <row r="23" spans="2:21" ht="21" customHeight="1">
      <c r="B23" s="342" t="s">
        <v>132</v>
      </c>
      <c r="C23" s="217" t="s">
        <v>4</v>
      </c>
      <c r="D23" s="218"/>
      <c r="E23" s="380">
        <v>733006</v>
      </c>
      <c r="F23" s="381"/>
      <c r="G23" s="382">
        <f>O23</f>
        <v>739605</v>
      </c>
      <c r="H23" s="381"/>
      <c r="I23" s="167">
        <f>G23-E23</f>
        <v>6599</v>
      </c>
      <c r="J23" s="174" t="s">
        <v>20</v>
      </c>
      <c r="K23" s="180"/>
      <c r="L23" s="182"/>
      <c r="M23" s="116">
        <f>Q19</f>
        <v>6900000</v>
      </c>
      <c r="N23" s="101">
        <f>SUM(R20:R22)</f>
        <v>733006</v>
      </c>
      <c r="O23" s="101">
        <f>SUM(S20:S22)</f>
        <v>739605</v>
      </c>
      <c r="Q23" s="187">
        <v>7900000</v>
      </c>
      <c r="R23" s="115">
        <v>29</v>
      </c>
      <c r="S23" s="120">
        <v>30</v>
      </c>
    </row>
    <row r="24" spans="2:21" ht="21" customHeight="1">
      <c r="B24" s="343"/>
      <c r="C24" s="229" t="s">
        <v>39</v>
      </c>
      <c r="D24" s="230"/>
      <c r="E24" s="353">
        <v>-10.62</v>
      </c>
      <c r="F24" s="354"/>
      <c r="G24" s="379">
        <f>$O24</f>
        <v>-10.72</v>
      </c>
      <c r="H24" s="354"/>
      <c r="I24" s="166">
        <f>I23/12</f>
        <v>549.91666666666663</v>
      </c>
      <c r="J24" s="175" t="s">
        <v>20</v>
      </c>
      <c r="K24" s="180"/>
      <c r="L24" s="182"/>
      <c r="M24" s="116"/>
      <c r="N24" s="130">
        <f>-ROUND(SUM(N23/$M23*100),2)</f>
        <v>-10.62</v>
      </c>
      <c r="O24" s="130">
        <f>-ROUND(SUM(O23/$M23*100),2)</f>
        <v>-10.72</v>
      </c>
      <c r="Q24" s="112" t="s">
        <v>35</v>
      </c>
      <c r="R24" s="159">
        <f>IF((($Q$23-330000)*$N$33+$N$34*2+$N$35)&lt;$R$33,($Q$23-330000)*$N$33+$N$34*2+$N$35,$R$33)</f>
        <v>458201</v>
      </c>
      <c r="S24" s="159">
        <f>IF((($Q$23-330000)*$O$33+$O$34*2+$O$35)&lt;$S$33,($Q$23-330000)*$O$33+$O$34*2+$O$35,$S$33)</f>
        <v>465500</v>
      </c>
      <c r="T24" s="124"/>
      <c r="U24" s="124"/>
    </row>
    <row r="25" spans="2:21" ht="21" customHeight="1">
      <c r="B25" s="344" t="s">
        <v>119</v>
      </c>
      <c r="C25" s="217" t="s">
        <v>115</v>
      </c>
      <c r="D25" s="218"/>
      <c r="E25" s="380">
        <v>808201</v>
      </c>
      <c r="F25" s="381"/>
      <c r="G25" s="382">
        <f>O25</f>
        <v>815500</v>
      </c>
      <c r="H25" s="381"/>
      <c r="I25" s="167">
        <f>G25-E25</f>
        <v>7299</v>
      </c>
      <c r="J25" s="174" t="s">
        <v>20</v>
      </c>
      <c r="K25" s="180"/>
      <c r="L25" s="182"/>
      <c r="M25" s="116">
        <f>Q23</f>
        <v>7900000</v>
      </c>
      <c r="N25" s="101">
        <f>SUM(R24:R26)</f>
        <v>808201</v>
      </c>
      <c r="O25" s="101">
        <f>SUM(S24:S26)</f>
        <v>815500</v>
      </c>
      <c r="Q25" s="113" t="s">
        <v>36</v>
      </c>
      <c r="R25" s="160">
        <f>IF((($Q$23-330000)*$N$36+$N$37*2+$N$38)&lt;$R$34,($Q$23-330000)*$N$36+$N$37*2+$N$38,$R$34)</f>
        <v>190000</v>
      </c>
      <c r="S25" s="160">
        <f>IF((($Q$23-330000)*$O$36+$O$37*2+$O$38)&lt;$S$34,($Q$23-330000)*$O$36+$O$37*2+$O$38,$S$34)</f>
        <v>190000</v>
      </c>
      <c r="T25" s="124" t="s">
        <v>19</v>
      </c>
      <c r="U25" s="124" t="s">
        <v>19</v>
      </c>
    </row>
    <row r="26" spans="2:21" ht="21" customHeight="1">
      <c r="B26" s="338"/>
      <c r="C26" s="229" t="s">
        <v>39</v>
      </c>
      <c r="D26" s="230"/>
      <c r="E26" s="353">
        <v>-10.23</v>
      </c>
      <c r="F26" s="354"/>
      <c r="G26" s="379">
        <f>$O26</f>
        <v>-10.32</v>
      </c>
      <c r="H26" s="354"/>
      <c r="I26" s="166">
        <f>I25/12</f>
        <v>608.25</v>
      </c>
      <c r="J26" s="175" t="s">
        <v>20</v>
      </c>
      <c r="K26" s="180"/>
      <c r="L26" s="182"/>
      <c r="M26" s="116"/>
      <c r="N26" s="130">
        <f>-ROUND(SUM(N25/$M25*100),2)</f>
        <v>-10.23</v>
      </c>
      <c r="O26" s="130">
        <f>-ROUND(SUM(O25/$M25*100),2)</f>
        <v>-10.32</v>
      </c>
      <c r="Q26" s="114" t="s">
        <v>40</v>
      </c>
      <c r="R26" s="161">
        <f>IF((($Q$23-330000)*$N$39+$N$40*2+$N$41)&lt;$R$35,($Q$23-330000)*$N$39+$N$40*2+$N$41,$R$35)</f>
        <v>160000</v>
      </c>
      <c r="S26" s="161">
        <f>IF((($Q$23-330000)*$O$39+$O$40*2+$O$41)&lt;$S$35,($Q$23-330000)*$O$39+$O$40*2+$O$41,$S$35)</f>
        <v>160000</v>
      </c>
      <c r="T26" s="124" t="s">
        <v>19</v>
      </c>
      <c r="U26" s="124" t="s">
        <v>19</v>
      </c>
    </row>
    <row r="27" spans="2:21" ht="21" customHeight="1">
      <c r="B27" s="345" t="s">
        <v>59</v>
      </c>
      <c r="C27" s="303" t="s">
        <v>148</v>
      </c>
      <c r="D27" s="257"/>
      <c r="E27" s="351">
        <v>890000</v>
      </c>
      <c r="F27" s="352"/>
      <c r="G27" s="372">
        <f>O27</f>
        <v>930000</v>
      </c>
      <c r="H27" s="352"/>
      <c r="I27" s="167">
        <f>G27-E27</f>
        <v>40000</v>
      </c>
      <c r="J27" s="176" t="s">
        <v>20</v>
      </c>
      <c r="K27" s="180"/>
      <c r="L27" s="182"/>
      <c r="M27" s="116">
        <f>Q27</f>
        <v>11000000</v>
      </c>
      <c r="N27" s="101">
        <f>SUM(R28:R30)</f>
        <v>890000</v>
      </c>
      <c r="O27" s="101">
        <f>SUM(S28:S30)</f>
        <v>930000</v>
      </c>
      <c r="Q27" s="187">
        <v>11000000</v>
      </c>
      <c r="R27" s="115">
        <v>29</v>
      </c>
      <c r="S27" s="120">
        <v>30</v>
      </c>
    </row>
    <row r="28" spans="2:21" ht="21" customHeight="1">
      <c r="B28" s="346"/>
      <c r="C28" s="223" t="s">
        <v>39</v>
      </c>
      <c r="D28" s="224"/>
      <c r="E28" s="373">
        <v>-9.32</v>
      </c>
      <c r="F28" s="374"/>
      <c r="G28" s="375">
        <f>$O28</f>
        <v>-8.4499999999999993</v>
      </c>
      <c r="H28" s="374"/>
      <c r="I28" s="168">
        <f>I27/12</f>
        <v>3333.3333333333335</v>
      </c>
      <c r="J28" s="177" t="s">
        <v>20</v>
      </c>
      <c r="K28" s="180"/>
      <c r="L28" s="182"/>
      <c r="M28" s="116"/>
      <c r="N28" s="130">
        <f>-ROUND(SUM(N27/$M27*100),2)</f>
        <v>-8.09</v>
      </c>
      <c r="O28" s="130">
        <f>-ROUND(SUM(O27/$M27*100),2)</f>
        <v>-8.4499999999999993</v>
      </c>
      <c r="Q28" s="112" t="s">
        <v>35</v>
      </c>
      <c r="R28" s="159">
        <f>IF((($Q$27-330000)*$N$33+$N$34*2+$N$35)&lt;$R$33,($Q$27-330000)*$N$33+$N$34*2+$N$35,$R$33)</f>
        <v>540000</v>
      </c>
      <c r="S28" s="159">
        <f>IF((($Q$27-330000)*$O$33+$O$34*2+$O$35)&lt;$S$33,($Q$27-330000)*$O$33+$O$34*2+$O$35,$S$33)</f>
        <v>580000</v>
      </c>
      <c r="T28" s="124" t="s">
        <v>19</v>
      </c>
      <c r="U28" s="124" t="s">
        <v>19</v>
      </c>
    </row>
    <row r="29" spans="2:21">
      <c r="N29" s="156"/>
      <c r="O29" s="156"/>
      <c r="Q29" s="113" t="s">
        <v>36</v>
      </c>
      <c r="R29" s="160">
        <f>IF((($Q$27-330000)*$N$36+$N$37*2+$N$38)&lt;$R$34,($Q$27-330000)*$N$36+$N$37*2+$N$38,$R$34)</f>
        <v>190000</v>
      </c>
      <c r="S29" s="160">
        <f>IF((($Q$27-330000)*$O$36+$O$37*2+$O$38)&lt;$S$34,($Q$27-330000)*$O$36+$O$37*2+$O$38,$S$34)</f>
        <v>190000</v>
      </c>
      <c r="T29" s="124" t="s">
        <v>19</v>
      </c>
      <c r="U29" s="124" t="s">
        <v>19</v>
      </c>
    </row>
    <row r="30" spans="2:21" ht="17.25" customHeight="1">
      <c r="B30" s="376" t="s">
        <v>122</v>
      </c>
      <c r="C30" s="376"/>
      <c r="D30" s="376"/>
      <c r="E30" s="376"/>
      <c r="F30" s="376"/>
      <c r="G30" s="376"/>
      <c r="H30" s="376"/>
      <c r="I30" s="376"/>
      <c r="J30" s="376"/>
      <c r="N30" s="157"/>
      <c r="O30" s="157"/>
      <c r="Q30" s="114" t="s">
        <v>40</v>
      </c>
      <c r="R30" s="160">
        <f>IF((($Q$27-330000)*$N$39+$N$40*2+$N$41)&lt;$R$35,($Q$27-330000)*$N$39+$N$40*2+$N$41,$R$35)</f>
        <v>160000</v>
      </c>
      <c r="S30" s="160">
        <f>IF((($Q$27-330000)*$O$39+$O$40*2+$O$41)&lt;$S$35,($Q$27-330000)*$O$39+$O$40*2+$O$41,$S$35)</f>
        <v>160000</v>
      </c>
      <c r="T30" s="124" t="s">
        <v>19</v>
      </c>
      <c r="U30" s="124" t="s">
        <v>19</v>
      </c>
    </row>
    <row r="31" spans="2:21" ht="7.5" customHeight="1">
      <c r="G31" s="41"/>
      <c r="H31" s="41"/>
      <c r="N31" s="12"/>
      <c r="O31" s="12"/>
    </row>
    <row r="32" spans="2:21" ht="25.5" customHeight="1">
      <c r="B32" s="295" t="s">
        <v>76</v>
      </c>
      <c r="C32" s="296"/>
      <c r="D32" s="297"/>
      <c r="E32" s="310" t="s">
        <v>126</v>
      </c>
      <c r="F32" s="323"/>
      <c r="G32" s="377" t="s">
        <v>147</v>
      </c>
      <c r="H32" s="378"/>
      <c r="I32" s="296" t="s">
        <v>79</v>
      </c>
      <c r="J32" s="325"/>
      <c r="N32" s="158"/>
      <c r="O32" s="158"/>
    </row>
    <row r="33" spans="2:19" ht="25.5" customHeight="1">
      <c r="B33" s="295" t="s">
        <v>8</v>
      </c>
      <c r="C33" s="296"/>
      <c r="D33" s="297"/>
      <c r="E33" s="349">
        <v>0.1978</v>
      </c>
      <c r="F33" s="350"/>
      <c r="G33" s="368">
        <v>0.20039999999999999</v>
      </c>
      <c r="H33" s="369"/>
      <c r="I33" s="370">
        <f t="shared" ref="I33:I40" si="0">G33-E33</f>
        <v>2.5999999999999912E-3</v>
      </c>
      <c r="J33" s="371"/>
      <c r="L33" s="390" t="s">
        <v>47</v>
      </c>
      <c r="M33" s="93" t="s">
        <v>42</v>
      </c>
      <c r="N33" s="186">
        <v>5.33E-2</v>
      </c>
      <c r="O33" s="186">
        <v>5.3999999999999999E-2</v>
      </c>
      <c r="Q33" s="1" t="s">
        <v>100</v>
      </c>
      <c r="R33" s="124">
        <v>540000</v>
      </c>
      <c r="S33" s="124">
        <v>580000</v>
      </c>
    </row>
    <row r="34" spans="2:19" ht="25.5" customHeight="1">
      <c r="B34" s="282" t="s">
        <v>107</v>
      </c>
      <c r="C34" s="283"/>
      <c r="D34" s="284"/>
      <c r="E34" s="347">
        <v>0.1532</v>
      </c>
      <c r="F34" s="348"/>
      <c r="G34" s="355">
        <v>9.8699999999999996E-2</v>
      </c>
      <c r="H34" s="356"/>
      <c r="I34" s="348">
        <f t="shared" si="0"/>
        <v>-5.4500000000000007E-2</v>
      </c>
      <c r="J34" s="357"/>
      <c r="L34" s="391"/>
      <c r="M34" s="93" t="s">
        <v>145</v>
      </c>
      <c r="N34" s="186">
        <v>21360</v>
      </c>
      <c r="O34" s="186">
        <v>21860</v>
      </c>
      <c r="Q34" s="1" t="s">
        <v>117</v>
      </c>
      <c r="R34" s="124">
        <v>190000</v>
      </c>
      <c r="S34" s="124">
        <v>190000</v>
      </c>
    </row>
    <row r="35" spans="2:19" ht="25.5" customHeight="1">
      <c r="B35" s="282" t="s">
        <v>85</v>
      </c>
      <c r="C35" s="283"/>
      <c r="D35" s="284"/>
      <c r="E35" s="347">
        <v>0.17030000000000001</v>
      </c>
      <c r="F35" s="348"/>
      <c r="G35" s="355">
        <v>0.20860000000000001</v>
      </c>
      <c r="H35" s="356"/>
      <c r="I35" s="348">
        <f t="shared" si="0"/>
        <v>3.8300000000000001E-2</v>
      </c>
      <c r="J35" s="357"/>
      <c r="L35" s="392"/>
      <c r="M35" s="93" t="s">
        <v>33</v>
      </c>
      <c r="N35" s="186">
        <v>12000</v>
      </c>
      <c r="O35" s="186">
        <v>13000</v>
      </c>
      <c r="Q35" s="1" t="s">
        <v>116</v>
      </c>
      <c r="R35" s="124">
        <v>160000</v>
      </c>
      <c r="S35" s="124">
        <v>160000</v>
      </c>
    </row>
    <row r="36" spans="2:19" ht="25.5" customHeight="1">
      <c r="B36" s="282" t="s">
        <v>128</v>
      </c>
      <c r="C36" s="283"/>
      <c r="D36" s="284"/>
      <c r="E36" s="347">
        <v>0.1822</v>
      </c>
      <c r="F36" s="348"/>
      <c r="G36" s="355">
        <v>0.18540000000000001</v>
      </c>
      <c r="H36" s="356"/>
      <c r="I36" s="348">
        <f t="shared" si="0"/>
        <v>3.2000000000000084E-3</v>
      </c>
      <c r="J36" s="357"/>
      <c r="L36" s="390" t="s">
        <v>92</v>
      </c>
      <c r="M36" s="93" t="s">
        <v>42</v>
      </c>
      <c r="N36" s="186">
        <v>2.2499999999999999E-2</v>
      </c>
      <c r="O36" s="186">
        <v>2.2499999999999999E-2</v>
      </c>
    </row>
    <row r="37" spans="2:19" ht="25.5" customHeight="1">
      <c r="B37" s="282" t="s">
        <v>129</v>
      </c>
      <c r="C37" s="283"/>
      <c r="D37" s="284"/>
      <c r="E37" s="347">
        <v>9.35E-2</v>
      </c>
      <c r="F37" s="348"/>
      <c r="G37" s="355">
        <v>0.10580000000000001</v>
      </c>
      <c r="H37" s="356"/>
      <c r="I37" s="348">
        <f t="shared" si="0"/>
        <v>1.2300000000000005E-2</v>
      </c>
      <c r="J37" s="357"/>
      <c r="L37" s="391"/>
      <c r="M37" s="93" t="s">
        <v>145</v>
      </c>
      <c r="N37" s="186">
        <v>7800</v>
      </c>
      <c r="O37" s="186">
        <v>7800</v>
      </c>
    </row>
    <row r="38" spans="2:19" ht="25.5" customHeight="1">
      <c r="B38" s="282" t="s">
        <v>127</v>
      </c>
      <c r="C38" s="283"/>
      <c r="D38" s="284"/>
      <c r="E38" s="347">
        <v>5.6000000000000001E-2</v>
      </c>
      <c r="F38" s="348"/>
      <c r="G38" s="355">
        <v>5.9200000000000003E-2</v>
      </c>
      <c r="H38" s="356"/>
      <c r="I38" s="348">
        <f t="shared" si="0"/>
        <v>3.2000000000000015E-3</v>
      </c>
      <c r="J38" s="357"/>
      <c r="L38" s="392"/>
      <c r="M38" s="93" t="s">
        <v>33</v>
      </c>
      <c r="N38" s="186">
        <v>4680</v>
      </c>
      <c r="O38" s="186">
        <v>4680</v>
      </c>
    </row>
    <row r="39" spans="2:19" ht="25.5" customHeight="1">
      <c r="B39" s="282" t="s">
        <v>87</v>
      </c>
      <c r="C39" s="283"/>
      <c r="D39" s="284"/>
      <c r="E39" s="347">
        <v>4.0399999999999998E-2</v>
      </c>
      <c r="F39" s="348"/>
      <c r="G39" s="355">
        <v>4.24E-2</v>
      </c>
      <c r="H39" s="356"/>
      <c r="I39" s="348">
        <f t="shared" si="0"/>
        <v>2.0000000000000018E-3</v>
      </c>
      <c r="J39" s="357"/>
      <c r="L39" s="390" t="s">
        <v>146</v>
      </c>
      <c r="M39" s="93" t="s">
        <v>42</v>
      </c>
      <c r="N39" s="186">
        <v>2.1399999999999999E-2</v>
      </c>
      <c r="O39" s="186">
        <v>2.1999999999999999E-2</v>
      </c>
    </row>
    <row r="40" spans="2:19" ht="25.5" customHeight="1">
      <c r="B40" s="268" t="s">
        <v>71</v>
      </c>
      <c r="C40" s="269"/>
      <c r="D40" s="270"/>
      <c r="E40" s="358">
        <v>0.1066</v>
      </c>
      <c r="F40" s="359"/>
      <c r="G40" s="360">
        <v>9.9400000000000002E-2</v>
      </c>
      <c r="H40" s="361"/>
      <c r="I40" s="362">
        <f t="shared" si="0"/>
        <v>-7.1999999999999981E-3</v>
      </c>
      <c r="J40" s="363"/>
      <c r="L40" s="391"/>
      <c r="M40" s="93" t="s">
        <v>145</v>
      </c>
      <c r="N40" s="186">
        <v>8040</v>
      </c>
      <c r="O40" s="186">
        <v>8200</v>
      </c>
    </row>
    <row r="41" spans="2:19" ht="25.5" customHeight="1">
      <c r="B41" s="268" t="s">
        <v>88</v>
      </c>
      <c r="C41" s="269"/>
      <c r="D41" s="270"/>
      <c r="E41" s="364">
        <f>SUM(E33:E40)</f>
        <v>1</v>
      </c>
      <c r="F41" s="365"/>
      <c r="G41" s="366">
        <f>SUM(G33:G40)</f>
        <v>0.99990000000000012</v>
      </c>
      <c r="H41" s="367"/>
      <c r="I41" s="362">
        <f>SUM(I33:I40)</f>
        <v>-9.9999999999995925E-5</v>
      </c>
      <c r="J41" s="363"/>
      <c r="L41" s="392"/>
      <c r="M41" s="93" t="s">
        <v>33</v>
      </c>
      <c r="N41" s="186">
        <v>3720</v>
      </c>
      <c r="O41" s="186">
        <v>4000</v>
      </c>
    </row>
    <row r="42" spans="2:19" ht="21" customHeight="1">
      <c r="C42" s="1"/>
      <c r="D42" s="1"/>
    </row>
    <row r="43" spans="2:19" ht="21" customHeight="1">
      <c r="C43" s="1"/>
      <c r="D43" s="1"/>
    </row>
    <row r="45" spans="2:19">
      <c r="C45" s="1"/>
      <c r="D45" s="1"/>
    </row>
    <row r="46" spans="2:19">
      <c r="C46" s="1"/>
      <c r="D46" s="1"/>
    </row>
    <row r="47" spans="2:19">
      <c r="C47" s="1"/>
      <c r="D47" s="1"/>
    </row>
    <row r="48" spans="2:19">
      <c r="C48" s="1"/>
      <c r="D48" s="1"/>
    </row>
    <row r="49" spans="3:4">
      <c r="C49" s="1"/>
      <c r="D49" s="1"/>
    </row>
    <row r="50" spans="3:4">
      <c r="C50" s="1"/>
      <c r="D50" s="1"/>
    </row>
    <row r="51" spans="3:4">
      <c r="C51" s="1"/>
      <c r="D51" s="1"/>
    </row>
    <row r="52" spans="3:4">
      <c r="C52" s="1"/>
      <c r="D52" s="1"/>
    </row>
    <row r="53" spans="3:4">
      <c r="C53" s="1"/>
      <c r="D53" s="1"/>
    </row>
    <row r="54" spans="3:4">
      <c r="C54" s="1"/>
      <c r="D54" s="1"/>
    </row>
    <row r="55" spans="3:4">
      <c r="C55" s="1"/>
      <c r="D55" s="1"/>
    </row>
  </sheetData>
  <mergeCells count="123">
    <mergeCell ref="B4:J4"/>
    <mergeCell ref="C6:D6"/>
    <mergeCell ref="E6:F6"/>
    <mergeCell ref="G6:H6"/>
    <mergeCell ref="I6:J6"/>
    <mergeCell ref="C7:D7"/>
    <mergeCell ref="E7:F7"/>
    <mergeCell ref="G7:H7"/>
    <mergeCell ref="C8:D8"/>
    <mergeCell ref="E8:F8"/>
    <mergeCell ref="G8:H8"/>
    <mergeCell ref="B7:B10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E35:F35"/>
    <mergeCell ref="G35:H35"/>
    <mergeCell ref="I35:J35"/>
    <mergeCell ref="G36:H36"/>
    <mergeCell ref="I36:J36"/>
    <mergeCell ref="B30:J30"/>
    <mergeCell ref="B32:D32"/>
    <mergeCell ref="E32:F32"/>
    <mergeCell ref="G32:H32"/>
    <mergeCell ref="I32:J32"/>
    <mergeCell ref="B33:D33"/>
    <mergeCell ref="E33:F33"/>
    <mergeCell ref="G33:H33"/>
    <mergeCell ref="I33:J33"/>
    <mergeCell ref="L39:L41"/>
    <mergeCell ref="B39:D39"/>
    <mergeCell ref="E39:F39"/>
    <mergeCell ref="G39:H39"/>
    <mergeCell ref="I39:J39"/>
    <mergeCell ref="B40:D40"/>
    <mergeCell ref="E40:F40"/>
    <mergeCell ref="G40:H40"/>
    <mergeCell ref="I40:J40"/>
    <mergeCell ref="B41:D41"/>
    <mergeCell ref="E41:F41"/>
    <mergeCell ref="G41:H41"/>
    <mergeCell ref="I41:J41"/>
    <mergeCell ref="B11:B12"/>
    <mergeCell ref="B13:B14"/>
    <mergeCell ref="B15:B16"/>
    <mergeCell ref="B17:B18"/>
    <mergeCell ref="B23:B24"/>
    <mergeCell ref="B25:B26"/>
    <mergeCell ref="B27:B28"/>
    <mergeCell ref="L33:L35"/>
    <mergeCell ref="L36:L38"/>
    <mergeCell ref="B36:D36"/>
    <mergeCell ref="E36:F36"/>
    <mergeCell ref="B37:D37"/>
    <mergeCell ref="E37:F37"/>
    <mergeCell ref="G37:H37"/>
    <mergeCell ref="I37:J37"/>
    <mergeCell ref="B38:D38"/>
    <mergeCell ref="E38:F38"/>
    <mergeCell ref="G38:H38"/>
    <mergeCell ref="I38:J38"/>
    <mergeCell ref="B34:D34"/>
    <mergeCell ref="E34:F34"/>
    <mergeCell ref="G34:H34"/>
    <mergeCell ref="I34:J34"/>
    <mergeCell ref="B35:D35"/>
  </mergeCells>
  <phoneticPr fontId="2"/>
  <printOptions horizontalCentered="1"/>
  <pageMargins left="0.59055118110236227" right="0.59055118110236227" top="0.98425196850393704" bottom="0.78740157480314965" header="0.31496062992125984" footer="0.31496062992125984"/>
  <pageSetup paperSize="9" scale="91" orientation="portrait" r:id="rId1"/>
  <headerFooter>
    <oddFooter xml:space="preserve">&amp;C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6D277-3648-49D1-81FC-9218C38B27DE}">
  <sheetPr>
    <tabColor rgb="FFFF0000"/>
    <pageSetUpPr fitToPage="1"/>
  </sheetPr>
  <dimension ref="A1:U59"/>
  <sheetViews>
    <sheetView tabSelected="1" view="pageBreakPreview" topLeftCell="A31" zoomScaleNormal="70" zoomScaleSheetLayoutView="100" workbookViewId="0">
      <selection activeCell="E50" sqref="E50"/>
    </sheetView>
  </sheetViews>
  <sheetFormatPr defaultRowHeight="13.5"/>
  <cols>
    <col min="1" max="1" width="5.75" style="1" customWidth="1"/>
    <col min="2" max="2" width="15.125" style="1" customWidth="1"/>
    <col min="3" max="3" width="14.125" style="2" customWidth="1"/>
    <col min="4" max="4" width="2.5" style="2" customWidth="1"/>
    <col min="5" max="5" width="16.75" style="1" customWidth="1"/>
    <col min="6" max="6" width="2.625" style="1" customWidth="1"/>
    <col min="7" max="7" width="16.875" style="1" customWidth="1"/>
    <col min="8" max="8" width="2.75" style="1" customWidth="1"/>
    <col min="9" max="9" width="13.625" style="1" customWidth="1"/>
    <col min="10" max="10" width="3.375" style="1" customWidth="1"/>
    <col min="11" max="12" width="3.875" style="2" customWidth="1"/>
    <col min="13" max="13" width="16.875" style="1" customWidth="1"/>
    <col min="14" max="15" width="12.125" style="1" customWidth="1"/>
    <col min="16" max="16" width="9" style="1" customWidth="1"/>
    <col min="17" max="17" width="12.75" style="1" customWidth="1"/>
    <col min="18" max="18" width="10.375" style="1" customWidth="1"/>
    <col min="19" max="19" width="10.5" style="1" customWidth="1"/>
    <col min="20" max="20" width="9" style="1" customWidth="1"/>
    <col min="21" max="16384" width="9" style="1"/>
  </cols>
  <sheetData>
    <row r="1" spans="1:19" ht="4.5" customHeight="1"/>
    <row r="2" spans="1:19" ht="27" customHeight="1">
      <c r="B2" s="140" t="s">
        <v>121</v>
      </c>
      <c r="C2" s="141"/>
      <c r="D2" s="141"/>
      <c r="E2" s="141"/>
      <c r="F2" s="141"/>
      <c r="G2" s="204"/>
      <c r="H2" s="204"/>
      <c r="I2" s="181" t="s">
        <v>184</v>
      </c>
      <c r="J2" s="141"/>
      <c r="K2" s="141"/>
      <c r="L2" s="141"/>
    </row>
    <row r="3" spans="1:19" ht="11.25" customHeight="1">
      <c r="A3" s="3"/>
      <c r="B3" s="5"/>
      <c r="C3" s="10"/>
      <c r="D3" s="10"/>
      <c r="E3" s="22"/>
      <c r="F3" s="22"/>
      <c r="G3" s="40"/>
      <c r="H3" s="40"/>
      <c r="I3" s="22"/>
      <c r="J3" s="22"/>
      <c r="K3" s="10"/>
      <c r="L3" s="10"/>
    </row>
    <row r="4" spans="1:19" ht="21">
      <c r="B4" s="376" t="s">
        <v>120</v>
      </c>
      <c r="C4" s="376"/>
      <c r="D4" s="376"/>
      <c r="E4" s="376"/>
      <c r="F4" s="376"/>
      <c r="G4" s="376"/>
      <c r="H4" s="376"/>
      <c r="I4" s="376"/>
      <c r="J4" s="376"/>
      <c r="N4" s="1" t="s">
        <v>118</v>
      </c>
    </row>
    <row r="5" spans="1:19" ht="7.5" customHeight="1" thickBot="1">
      <c r="G5" s="41"/>
      <c r="H5" s="41"/>
    </row>
    <row r="6" spans="1:19" ht="36.950000000000003" customHeight="1" thickBot="1">
      <c r="B6" s="162"/>
      <c r="C6" s="245" t="s">
        <v>25</v>
      </c>
      <c r="D6" s="246"/>
      <c r="E6" s="247" t="s">
        <v>163</v>
      </c>
      <c r="F6" s="248"/>
      <c r="G6" s="247" t="s">
        <v>164</v>
      </c>
      <c r="H6" s="248"/>
      <c r="I6" s="385" t="s">
        <v>60</v>
      </c>
      <c r="J6" s="335"/>
      <c r="K6" s="126"/>
      <c r="L6" s="126"/>
      <c r="N6" s="185" t="s">
        <v>162</v>
      </c>
      <c r="O6" s="185" t="s">
        <v>165</v>
      </c>
      <c r="R6" s="185" t="s">
        <v>162</v>
      </c>
      <c r="S6" s="185" t="s">
        <v>165</v>
      </c>
    </row>
    <row r="7" spans="1:19" ht="20.100000000000001" customHeight="1">
      <c r="B7" s="343" t="s">
        <v>73</v>
      </c>
      <c r="C7" s="395" t="s">
        <v>52</v>
      </c>
      <c r="D7" s="396"/>
      <c r="E7" s="386">
        <v>20916</v>
      </c>
      <c r="F7" s="387"/>
      <c r="G7" s="388">
        <f>O7</f>
        <v>22248</v>
      </c>
      <c r="H7" s="387"/>
      <c r="I7" s="165">
        <f>G7-E7</f>
        <v>1332</v>
      </c>
      <c r="J7" s="169" t="s">
        <v>20</v>
      </c>
      <c r="K7" s="178"/>
      <c r="L7" s="91"/>
      <c r="M7" s="183">
        <v>0</v>
      </c>
      <c r="N7" s="131">
        <f>($N$34+$N$35)*0.3+($N$37+$N$38)*0.3+($N$40+$N$41)*0.3</f>
        <v>20916</v>
      </c>
      <c r="O7" s="131">
        <f>($O$34+$O$35)*0.3+($O$37+$O$38)*0.3+($O$40+$O$41)*0.3</f>
        <v>22248</v>
      </c>
      <c r="Q7" s="184">
        <v>2100000</v>
      </c>
      <c r="R7" s="131">
        <f>($Q$7-430000)*$N$33+($N$34+$N$35)+($Q$7-430000)*$N$36+($N$37+$N$38)+($Q$7-430000)*$N$39+($N$40+$N$41)</f>
        <v>255925</v>
      </c>
      <c r="S7" s="131">
        <f>($Q$7-430000)*$O$33+($O$34+$O$35)+($Q$7-430000)*$O$36+($O$37+$O$38)+($Q$7-430000)*$O$39+($O$40+$O$41)</f>
        <v>293932</v>
      </c>
    </row>
    <row r="8" spans="1:19" ht="20.100000000000001" customHeight="1" thickBot="1">
      <c r="B8" s="389"/>
      <c r="C8" s="397" t="s">
        <v>26</v>
      </c>
      <c r="D8" s="398"/>
      <c r="E8" s="353"/>
      <c r="F8" s="354"/>
      <c r="G8" s="379"/>
      <c r="H8" s="354"/>
      <c r="I8" s="166">
        <f>I7/12</f>
        <v>111</v>
      </c>
      <c r="J8" s="170" t="s">
        <v>20</v>
      </c>
      <c r="K8" s="178"/>
      <c r="L8" s="91"/>
      <c r="M8" s="183"/>
      <c r="N8" s="130"/>
      <c r="O8" s="130"/>
      <c r="Q8" s="184"/>
      <c r="R8" s="130">
        <f>-ROUND(SUM(R7/$Q7*100),2)</f>
        <v>-12.19</v>
      </c>
      <c r="S8" s="130">
        <f>-ROUND(SUM(S7/$Q7*100),2)</f>
        <v>-14</v>
      </c>
    </row>
    <row r="9" spans="1:19" ht="20.100000000000001" customHeight="1" thickBot="1">
      <c r="B9" s="389"/>
      <c r="C9" s="408" t="s">
        <v>153</v>
      </c>
      <c r="D9" s="409"/>
      <c r="E9" s="380">
        <v>20916</v>
      </c>
      <c r="F9" s="381"/>
      <c r="G9" s="382">
        <f>O9</f>
        <v>22248</v>
      </c>
      <c r="H9" s="381"/>
      <c r="I9" s="167">
        <f>G9-E9</f>
        <v>1332</v>
      </c>
      <c r="J9" s="171" t="s">
        <v>20</v>
      </c>
      <c r="K9" s="179"/>
      <c r="L9" s="10"/>
      <c r="M9" s="184">
        <v>430000</v>
      </c>
      <c r="N9" s="131">
        <f>($M$9-430000)*$N$33+($N$34+$N$35)*0.3+($M$9-430000)*$N$36+($N$37+$N$38)*0.3+($M$9-430000)*$N$39+($N$40+$N$41)*0.3</f>
        <v>20916</v>
      </c>
      <c r="O9" s="131">
        <f>($M$9-430000)*$O$33+($O$34+$O$35)*0.3+($M$9-430000)*$O$36+($O$37+$O$38)*0.3+($M$9-430000)*$O$39+($O$40+$O$41)*0.3</f>
        <v>22248</v>
      </c>
      <c r="Q9" s="116"/>
      <c r="R9" s="116"/>
    </row>
    <row r="10" spans="1:19" ht="20.100000000000001" customHeight="1" thickBot="1">
      <c r="B10" s="394"/>
      <c r="C10" s="410" t="s">
        <v>53</v>
      </c>
      <c r="D10" s="411"/>
      <c r="E10" s="412">
        <v>5.8099999999999999E-2</v>
      </c>
      <c r="F10" s="413"/>
      <c r="G10" s="414">
        <f>$O10</f>
        <v>-5.17</v>
      </c>
      <c r="H10" s="415"/>
      <c r="I10" s="167">
        <f>I9/12</f>
        <v>111</v>
      </c>
      <c r="J10" s="171" t="s">
        <v>20</v>
      </c>
      <c r="K10" s="179"/>
      <c r="L10" s="10"/>
      <c r="M10" s="184"/>
      <c r="N10" s="130">
        <f>-ROUND(SUM(N9/$M9*100),2)</f>
        <v>-4.8600000000000003</v>
      </c>
      <c r="O10" s="130">
        <f>-ROUND(SUM(O9/$M9*100),2)</f>
        <v>-5.17</v>
      </c>
      <c r="P10" s="454">
        <f>O10-N10</f>
        <v>-0.30999999999999961</v>
      </c>
      <c r="Q10" s="187">
        <v>3100000</v>
      </c>
      <c r="R10" s="189" t="s">
        <v>167</v>
      </c>
      <c r="S10" s="190" t="s">
        <v>168</v>
      </c>
    </row>
    <row r="11" spans="1:19" ht="20.100000000000001" customHeight="1">
      <c r="B11" s="399" t="s">
        <v>67</v>
      </c>
      <c r="C11" s="400" t="s">
        <v>154</v>
      </c>
      <c r="D11" s="401"/>
      <c r="E11" s="402">
        <v>50470</v>
      </c>
      <c r="F11" s="403"/>
      <c r="G11" s="404">
        <f>O11</f>
        <v>55504</v>
      </c>
      <c r="H11" s="403"/>
      <c r="I11" s="191">
        <f>G11-E11</f>
        <v>5034</v>
      </c>
      <c r="J11" s="193" t="s">
        <v>20</v>
      </c>
      <c r="K11" s="179"/>
      <c r="L11" s="10"/>
      <c r="M11" s="184">
        <v>570000</v>
      </c>
      <c r="N11" s="131">
        <f>($M$11-430000)*$N$33+($N$34+$N$35)*0.5+($M$11-430000)*$N$36+($N$37+$N$38)*0.5+($M$11-430000)*$N$39+($N$40+$N$41)*0.5</f>
        <v>50470</v>
      </c>
      <c r="O11" s="131">
        <f>($M$11-430000)*$O$33+($O$34+$O$35)*0.5+($M$11-430000)*$O$36+($O$37+$O$38)*0.5+($M$11-430000)*$O$39+($O$40+$O$41)*0.5</f>
        <v>55504</v>
      </c>
      <c r="Q11" s="112" t="s">
        <v>35</v>
      </c>
      <c r="R11" s="159">
        <f>IF((($Q$10-430000)*$N$33+$N$34*2+$N$35)&lt;$R$33,($Q$10-430000)*$N$33+$N$34*2+$N$35,$R$33)</f>
        <v>228510</v>
      </c>
      <c r="S11" s="159">
        <f>IF((($Q$10-430000)*$O$33+$O$34*2+$O$35)&lt;$S$33,($Q$10-430000)*$O$33+$O$34*2+$O$35,$S$33)</f>
        <v>253239</v>
      </c>
    </row>
    <row r="12" spans="1:19" ht="20.100000000000001" customHeight="1" thickBot="1">
      <c r="B12" s="339"/>
      <c r="C12" s="398" t="s">
        <v>53</v>
      </c>
      <c r="D12" s="405"/>
      <c r="E12" s="406">
        <v>9.9500000000000005E-2</v>
      </c>
      <c r="F12" s="407"/>
      <c r="G12" s="379">
        <f>$O12</f>
        <v>-9.74</v>
      </c>
      <c r="H12" s="354"/>
      <c r="I12" s="166">
        <f>I11/12</f>
        <v>419.5</v>
      </c>
      <c r="J12" s="170" t="s">
        <v>20</v>
      </c>
      <c r="K12" s="179"/>
      <c r="L12" s="10"/>
      <c r="M12" s="184"/>
      <c r="N12" s="130">
        <f>-ROUND(SUM(N11/$M11*100),2)</f>
        <v>-8.85</v>
      </c>
      <c r="O12" s="130">
        <f>-ROUND(SUM(O11/$M11*100),2)</f>
        <v>-9.74</v>
      </c>
      <c r="Q12" s="113" t="s">
        <v>36</v>
      </c>
      <c r="R12" s="160">
        <f>IF((($Q$10-430000)*$N$36+$N$37*2+$N$38)&lt;$R$34,($Q$10-430000)*$N$36+$N$37*2+$N$38,$R$34)</f>
        <v>91254</v>
      </c>
      <c r="S12" s="160">
        <f>IF((($Q$10-430000)*$O$36+$O$37*2+$O$38)&lt;$S$34,($Q$10-430000)*$O$36+$O$37*2+$O$38,$S$34)</f>
        <v>113820</v>
      </c>
    </row>
    <row r="13" spans="1:19" ht="20.100000000000001" customHeight="1" thickBot="1">
      <c r="B13" s="340"/>
      <c r="C13" s="418" t="s">
        <v>51</v>
      </c>
      <c r="D13" s="409"/>
      <c r="E13" s="380">
        <v>64965</v>
      </c>
      <c r="F13" s="381"/>
      <c r="G13" s="382">
        <f>O13</f>
        <v>72612</v>
      </c>
      <c r="H13" s="381"/>
      <c r="I13" s="167">
        <f>G13-E13</f>
        <v>7647</v>
      </c>
      <c r="J13" s="173" t="s">
        <v>20</v>
      </c>
      <c r="K13" s="179"/>
      <c r="L13" s="10"/>
      <c r="M13" s="184">
        <v>700000</v>
      </c>
      <c r="N13" s="131">
        <f>($M$13-430000)*$N$33+($N$34+$N$35)*0.8+($M$13-430000)*$N$36+($N$37+$N$38)*0.8+($M$13-430000)*$N$39+($N$40+$N$41)*0.8</f>
        <v>85881</v>
      </c>
      <c r="O13" s="131">
        <f>($M$13-430000)*$O$33+($O$34+$O$35)*0.5+($M$13-430000)*$O$36+($O$37+$O$38)*0.5+($M$13-430000)*$O$39+($O$40+$O$41)*0.5</f>
        <v>72612</v>
      </c>
      <c r="Q13" s="114" t="s">
        <v>40</v>
      </c>
      <c r="R13" s="161">
        <f>IF((($Q$10-430000)*$N$39+$N$40*2+$N$41)&lt;$R$35,($Q$10-430000)*$N$39+$N$40*2+$N$41,$R$35)</f>
        <v>91131</v>
      </c>
      <c r="S13" s="161">
        <f>IF((($Q$10-430000)*$O$39+$O$40*2+$O$41)&lt;$S$35,($Q$10-430000)*$O$39+$O$40*2+$O$41,$S$35)</f>
        <v>105123</v>
      </c>
    </row>
    <row r="14" spans="1:19" ht="20.100000000000001" customHeight="1" thickBot="1">
      <c r="B14" s="417"/>
      <c r="C14" s="411" t="s">
        <v>26</v>
      </c>
      <c r="D14" s="419"/>
      <c r="E14" s="412">
        <v>0.1009</v>
      </c>
      <c r="F14" s="413"/>
      <c r="G14" s="414">
        <f>$O14</f>
        <v>-10.37</v>
      </c>
      <c r="H14" s="415"/>
      <c r="I14" s="167">
        <f>I13/12</f>
        <v>637.25</v>
      </c>
      <c r="J14" s="171" t="s">
        <v>20</v>
      </c>
      <c r="K14" s="179"/>
      <c r="L14" s="10"/>
      <c r="M14" s="184"/>
      <c r="N14" s="130">
        <f>-ROUND(SUM(N13/$M13*100),2)</f>
        <v>-12.27</v>
      </c>
      <c r="O14" s="130">
        <f>-ROUND(SUM(O13/$M13*100),2)</f>
        <v>-10.37</v>
      </c>
      <c r="R14" s="130">
        <f>-ROUND(SUM(SUM(R11:R13)/$Q10*100),2)</f>
        <v>-13.25</v>
      </c>
      <c r="S14" s="130">
        <f>-ROUND(SUM(SUM(S11:S13)/$Q10*100),2)</f>
        <v>-15.23</v>
      </c>
    </row>
    <row r="15" spans="1:19" ht="20.100000000000001" customHeight="1" thickBot="1">
      <c r="B15" s="399" t="s">
        <v>63</v>
      </c>
      <c r="C15" s="416" t="s">
        <v>155</v>
      </c>
      <c r="D15" s="401"/>
      <c r="E15" s="402">
        <v>98146</v>
      </c>
      <c r="F15" s="403"/>
      <c r="G15" s="404">
        <f>O15</f>
        <v>109336</v>
      </c>
      <c r="H15" s="403"/>
      <c r="I15" s="191">
        <f>G15-E15</f>
        <v>11190</v>
      </c>
      <c r="J15" s="193" t="s">
        <v>20</v>
      </c>
      <c r="K15" s="179"/>
      <c r="L15" s="10"/>
      <c r="M15" s="184">
        <v>810000</v>
      </c>
      <c r="N15" s="131">
        <f>($M$15-430000)*$N$33+($N$34+$N$35)*0.8+($M$15-430000)*$N$36+($N$37+$N$38)*0.8+($M$15-430000)*$N$39+($N$40+$N$41)*0.8</f>
        <v>98146</v>
      </c>
      <c r="O15" s="131">
        <f>($M$15-430000)*$O$33+($O$34+$O$35)*0.8+($M$15-430000)*$O$36+($O$37+$O$38)*0.8+($M$15-430000)*$O$39+($O$40+$O$41)*0.8</f>
        <v>109336</v>
      </c>
      <c r="Q15" s="187">
        <v>4100000</v>
      </c>
      <c r="R15" s="189" t="s">
        <v>151</v>
      </c>
      <c r="S15" s="190" t="s">
        <v>152</v>
      </c>
    </row>
    <row r="16" spans="1:19" ht="20.100000000000001" customHeight="1" thickBot="1">
      <c r="B16" s="339"/>
      <c r="C16" s="397" t="s">
        <v>53</v>
      </c>
      <c r="D16" s="405"/>
      <c r="E16" s="406">
        <v>0.12859999999999999</v>
      </c>
      <c r="F16" s="407"/>
      <c r="G16" s="379">
        <f>$O16</f>
        <v>-13.5</v>
      </c>
      <c r="H16" s="354"/>
      <c r="I16" s="166">
        <f>I15/12</f>
        <v>932.5</v>
      </c>
      <c r="J16" s="170" t="s">
        <v>20</v>
      </c>
      <c r="K16" s="179"/>
      <c r="L16" s="10"/>
      <c r="M16" s="184"/>
      <c r="N16" s="130">
        <f>-ROUND(SUM(N15/$M15*100),2)</f>
        <v>-12.12</v>
      </c>
      <c r="O16" s="130">
        <f>-ROUND(SUM(O15/$M15*100),2)</f>
        <v>-13.5</v>
      </c>
      <c r="Q16" s="112" t="s">
        <v>35</v>
      </c>
      <c r="R16" s="159">
        <f>IF((($Q$15-430000)*$N$33+$N$34*2+$N$35)&lt;$R$33,($Q$15-430000)*$N$33+$N$34*2+$N$35,$R$33)</f>
        <v>289510</v>
      </c>
      <c r="S16" s="159">
        <f>IF((($Q$15-430000)*$O$33+$O$34*2+$O$35)&lt;$S$33,($Q$15-430000)*$O$33+$O$34*2+$O$35,$S$33)</f>
        <v>322939</v>
      </c>
    </row>
    <row r="17" spans="2:21" ht="20.100000000000001" customHeight="1">
      <c r="B17" s="339"/>
      <c r="C17" s="408" t="s">
        <v>156</v>
      </c>
      <c r="D17" s="409"/>
      <c r="E17" s="380">
        <v>110411</v>
      </c>
      <c r="F17" s="381"/>
      <c r="G17" s="382">
        <f>O17</f>
        <v>123812</v>
      </c>
      <c r="H17" s="381"/>
      <c r="I17" s="167">
        <f>G17-E17</f>
        <v>13401</v>
      </c>
      <c r="J17" s="173" t="s">
        <v>20</v>
      </c>
      <c r="K17" s="179"/>
      <c r="L17" s="10"/>
      <c r="M17" s="184">
        <v>920000</v>
      </c>
      <c r="N17" s="131">
        <f>($M$17-430000)*$N$33+($N$34+$N$35)+($M$17-430000)*$N$36+($N$37+$N$38)+($M$17-430000)*$N$39+($N$40+$N$41)</f>
        <v>124355</v>
      </c>
      <c r="O17" s="131">
        <f>($M$17-430000)*$O$33+($O$34+$O$35)*0.8+($M$17-430000)*$O$36+($O$37+$O$38)*0.8+($M$17-430000)*$O$39+($O$40+$O$41)*0.8</f>
        <v>123812</v>
      </c>
      <c r="Q17" s="113" t="s">
        <v>36</v>
      </c>
      <c r="R17" s="160">
        <f>IF((($Q$15-430000)*$N$36+$N$37*2+$N$38)&lt;$R$34,($Q$15-430000)*$N$36+$N$37*2+$N$38,$R$34)</f>
        <v>116454</v>
      </c>
      <c r="S17" s="160">
        <f>IF((($Q$15-430000)*$O$36+$O$37*2+$O$38)&lt;$S$34,($Q$15-430000)*$O$36+$O$37*2+$O$38,$S$34)</f>
        <v>145820</v>
      </c>
      <c r="T17" s="124"/>
    </row>
    <row r="18" spans="2:21" ht="20.100000000000001" customHeight="1" thickBot="1">
      <c r="B18" s="429"/>
      <c r="C18" s="430" t="s">
        <v>26</v>
      </c>
      <c r="D18" s="431"/>
      <c r="E18" s="432">
        <v>0.12559999999999999</v>
      </c>
      <c r="F18" s="433"/>
      <c r="G18" s="434">
        <f>$O18</f>
        <v>-13.46</v>
      </c>
      <c r="H18" s="435"/>
      <c r="I18" s="192">
        <f>I17/12</f>
        <v>1116.75</v>
      </c>
      <c r="J18" s="194" t="s">
        <v>20</v>
      </c>
      <c r="K18" s="179"/>
      <c r="L18" s="10"/>
      <c r="M18" s="184"/>
      <c r="N18" s="130">
        <f>-ROUND(SUM(N17/$M17*100),2)</f>
        <v>-13.52</v>
      </c>
      <c r="O18" s="130">
        <f>-ROUND(SUM(O17/$M17*100),2)</f>
        <v>-13.46</v>
      </c>
      <c r="Q18" s="114" t="s">
        <v>40</v>
      </c>
      <c r="R18" s="161">
        <f>IF((($Q$15-430000)*$N$39+$N$40*2+$N$41)&lt;$R$35,($Q$15-430000)*$N$39+$N$40*2+$N$41,$R$35)</f>
        <v>116431</v>
      </c>
      <c r="S18" s="161">
        <f>IF((($Q$15-430000)*$O$39+$O$40*2+$O$41)&lt;$S$35,($Q$15-430000)*$O$39+$O$40*2+$O$41,$S$35)</f>
        <v>135023</v>
      </c>
      <c r="T18" s="124"/>
      <c r="U18" s="124"/>
    </row>
    <row r="19" spans="2:21" ht="20.100000000000001" customHeight="1" thickBot="1">
      <c r="B19" s="436" t="s">
        <v>169</v>
      </c>
      <c r="C19" s="420" t="s">
        <v>157</v>
      </c>
      <c r="D19" s="421"/>
      <c r="E19" s="422">
        <v>144425</v>
      </c>
      <c r="F19" s="423"/>
      <c r="G19" s="372">
        <f>O19</f>
        <v>162332</v>
      </c>
      <c r="H19" s="423"/>
      <c r="I19" s="167">
        <f>G19-E19</f>
        <v>17907</v>
      </c>
      <c r="J19" s="171" t="s">
        <v>20</v>
      </c>
      <c r="K19" s="180"/>
      <c r="L19" s="182"/>
      <c r="M19" s="184">
        <v>1100000</v>
      </c>
      <c r="N19" s="131">
        <f>($M$19-430000)*$N$33+($N$34+$N$35)+($M$19-430000)*$N$36+($N$37+$N$38)+($M$19-430000)*$N$39+($N$40+$N$41)</f>
        <v>144425</v>
      </c>
      <c r="O19" s="131">
        <f>($M$19-430000)*$O$33+($O$34+$O$35)+($M$19-430000)*$O$36+($O$37+$O$38)+($M$19-430000)*$O$39+($O$40+$O$41)</f>
        <v>162332</v>
      </c>
      <c r="Q19" s="187">
        <v>7000000</v>
      </c>
      <c r="R19" s="115">
        <v>29</v>
      </c>
      <c r="S19" s="120">
        <v>30</v>
      </c>
    </row>
    <row r="20" spans="2:21" ht="20.100000000000001" customHeight="1" thickBot="1">
      <c r="B20" s="342"/>
      <c r="C20" s="424" t="s">
        <v>26</v>
      </c>
      <c r="D20" s="425"/>
      <c r="E20" s="426">
        <v>0.1348</v>
      </c>
      <c r="F20" s="427"/>
      <c r="G20" s="379">
        <f>$O20</f>
        <v>-14.76</v>
      </c>
      <c r="H20" s="428"/>
      <c r="I20" s="166">
        <f>I19/12</f>
        <v>1492.25</v>
      </c>
      <c r="J20" s="170" t="s">
        <v>20</v>
      </c>
      <c r="K20" s="180"/>
      <c r="L20" s="182"/>
      <c r="M20" s="184"/>
      <c r="N20" s="130">
        <f>-ROUND(SUM(N19/$M19*100),2)</f>
        <v>-13.13</v>
      </c>
      <c r="O20" s="130">
        <f>-ROUND(SUM(O19/$M19*100),2)</f>
        <v>-14.76</v>
      </c>
      <c r="Q20" s="112" t="s">
        <v>35</v>
      </c>
      <c r="R20" s="159">
        <f>IF((($Q$19-430000)*$N$33+$N$34*2+$N$35)&lt;$R$33,($Q$19-430000)*$N$33+$N$34*2+$N$35,$R$33)</f>
        <v>466410</v>
      </c>
      <c r="S20" s="159">
        <f>IF((($Q$19-430000)*$O$33+$O$34*2+$O$35)&lt;$S$33,($Q$19-430000)*$O$33+$O$34*2+$O$35,$S$33)</f>
        <v>525069</v>
      </c>
    </row>
    <row r="21" spans="2:21" ht="20.100000000000001" customHeight="1">
      <c r="B21" s="342"/>
      <c r="C21" s="420" t="s">
        <v>158</v>
      </c>
      <c r="D21" s="421"/>
      <c r="E21" s="422">
        <v>255925</v>
      </c>
      <c r="F21" s="423"/>
      <c r="G21" s="372">
        <f>S7</f>
        <v>293932</v>
      </c>
      <c r="H21" s="423"/>
      <c r="I21" s="167">
        <f>G21-E21</f>
        <v>38007</v>
      </c>
      <c r="J21" s="195" t="s">
        <v>20</v>
      </c>
      <c r="K21" s="180"/>
      <c r="L21" s="182"/>
      <c r="M21" s="116">
        <f>Q15</f>
        <v>4100000</v>
      </c>
      <c r="N21" s="101">
        <f>SUM(R16:R18)</f>
        <v>522395</v>
      </c>
      <c r="O21" s="101">
        <f>SUM(S16:S18)</f>
        <v>603782</v>
      </c>
      <c r="Q21" s="113" t="s">
        <v>36</v>
      </c>
      <c r="R21" s="160">
        <f>IF((($Q$19-430000)*$N$36+$N$37*2+$N$38)&lt;$R$34,($Q$19-430000)*$N$36+$N$37*2+$N$38,$R$34)</f>
        <v>189534</v>
      </c>
      <c r="S21" s="160">
        <f>IF((($Q$19-430000)*$O$36+$O$37*2+$O$38)&lt;$S$34,($Q$19-430000)*$O$36+$O$37*2+$O$38,$S$34)</f>
        <v>220000</v>
      </c>
      <c r="T21" s="124"/>
      <c r="U21" s="124"/>
    </row>
    <row r="22" spans="2:21" ht="20.100000000000001" customHeight="1" thickBot="1">
      <c r="B22" s="342"/>
      <c r="C22" s="424" t="s">
        <v>26</v>
      </c>
      <c r="D22" s="425"/>
      <c r="E22" s="426">
        <v>0.12039999999999999</v>
      </c>
      <c r="F22" s="427"/>
      <c r="G22" s="379">
        <f>S8</f>
        <v>-14</v>
      </c>
      <c r="H22" s="428"/>
      <c r="I22" s="166">
        <f>I21/12</f>
        <v>3167.25</v>
      </c>
      <c r="J22" s="196" t="s">
        <v>20</v>
      </c>
      <c r="K22" s="180"/>
      <c r="L22" s="182"/>
      <c r="M22" s="116"/>
      <c r="N22" s="130">
        <f>-ROUND(SUM(N21/$M21*100),2)</f>
        <v>-12.74</v>
      </c>
      <c r="O22" s="130">
        <f>-ROUND(SUM(O21/$M21*100),2)</f>
        <v>-14.73</v>
      </c>
      <c r="Q22" s="114" t="s">
        <v>40</v>
      </c>
      <c r="R22" s="161">
        <f>IF((($Q$19-430000)*$N$39+$N$40*2+$N$41)&lt;$R$35,($Q$19-430000)*$N$39+$N$40*2+$N$41,$R$35)</f>
        <v>170000</v>
      </c>
      <c r="S22" s="161">
        <f>IF((($Q$19-430000)*$O$39+$O$40*2+$O$41)&lt;$S$35,($Q$19-430000)*$O$39+$O$40*2+$O$41,$S$35)</f>
        <v>170000</v>
      </c>
      <c r="T22" s="124" t="s">
        <v>19</v>
      </c>
      <c r="U22" s="124" t="s">
        <v>19</v>
      </c>
    </row>
    <row r="23" spans="2:21" ht="20.100000000000001" customHeight="1" thickBot="1">
      <c r="B23" s="342"/>
      <c r="C23" s="438" t="s">
        <v>159</v>
      </c>
      <c r="D23" s="439"/>
      <c r="E23" s="422">
        <v>410895</v>
      </c>
      <c r="F23" s="423"/>
      <c r="G23" s="372">
        <f>SUM(S11:S13)</f>
        <v>472182</v>
      </c>
      <c r="H23" s="423"/>
      <c r="I23" s="167">
        <f>G23-E23</f>
        <v>61287</v>
      </c>
      <c r="J23" s="195" t="s">
        <v>20</v>
      </c>
      <c r="K23" s="180"/>
      <c r="L23" s="182"/>
      <c r="M23" s="116">
        <f>Q19</f>
        <v>7000000</v>
      </c>
      <c r="N23" s="101">
        <f>SUM(R20:R22)</f>
        <v>825944</v>
      </c>
      <c r="O23" s="101">
        <f>SUM(S20:S22)</f>
        <v>915069</v>
      </c>
      <c r="Q23" s="187">
        <v>8000000</v>
      </c>
      <c r="R23" s="115">
        <v>29</v>
      </c>
      <c r="S23" s="120">
        <v>30</v>
      </c>
    </row>
    <row r="24" spans="2:21" ht="20.100000000000001" customHeight="1" thickBot="1">
      <c r="B24" s="342"/>
      <c r="C24" s="440" t="s">
        <v>39</v>
      </c>
      <c r="D24" s="441"/>
      <c r="E24" s="426">
        <v>0.1288</v>
      </c>
      <c r="F24" s="427"/>
      <c r="G24" s="379">
        <f>S14</f>
        <v>-15.23</v>
      </c>
      <c r="H24" s="428"/>
      <c r="I24" s="166">
        <f>I23/12</f>
        <v>5107.25</v>
      </c>
      <c r="J24" s="196" t="s">
        <v>20</v>
      </c>
      <c r="K24" s="180"/>
      <c r="L24" s="182"/>
      <c r="M24" s="116"/>
      <c r="N24" s="130">
        <f>-ROUND(SUM(N23/$M23*100),2)</f>
        <v>-11.8</v>
      </c>
      <c r="O24" s="130">
        <f>-ROUND(SUM(O23/$M23*100),2)</f>
        <v>-13.07</v>
      </c>
      <c r="Q24" s="112" t="s">
        <v>35</v>
      </c>
      <c r="R24" s="159">
        <f>IF((($Q$23-430000)*$N$33+$N$34*2+$N$35)&lt;$R$33,($Q$23-430000)*$N$33+$N$34*2+$N$35,$R$33)</f>
        <v>527410</v>
      </c>
      <c r="S24" s="159">
        <f>IF((($Q$23-430000)*$O$33+$O$34*2+$O$35)&lt;$S$33,($Q$23-430000)*$O$33+$O$34*2+$O$35,$S$33)</f>
        <v>594769</v>
      </c>
      <c r="T24" s="124"/>
      <c r="U24" s="124"/>
    </row>
    <row r="25" spans="2:21" ht="20.100000000000001" customHeight="1">
      <c r="B25" s="342"/>
      <c r="C25" s="420" t="s">
        <v>160</v>
      </c>
      <c r="D25" s="421"/>
      <c r="E25" s="422">
        <v>522395</v>
      </c>
      <c r="F25" s="423"/>
      <c r="G25" s="372">
        <f>O21</f>
        <v>603782</v>
      </c>
      <c r="H25" s="423"/>
      <c r="I25" s="167">
        <f>G25-E25</f>
        <v>81387</v>
      </c>
      <c r="J25" s="176" t="s">
        <v>20</v>
      </c>
      <c r="K25" s="180"/>
      <c r="L25" s="182"/>
      <c r="M25" s="116">
        <f>Q23</f>
        <v>8000000</v>
      </c>
      <c r="N25" s="101">
        <f>SUM(R24:R26)</f>
        <v>897410</v>
      </c>
      <c r="O25" s="101">
        <f>SUM(S24:S26)</f>
        <v>984769</v>
      </c>
      <c r="Q25" s="113" t="s">
        <v>36</v>
      </c>
      <c r="R25" s="160">
        <f>IF((($Q$23-430000)*$N$36+$N$37*2+$N$38)&lt;$R$34,($Q$23-430000)*$N$36+$N$37*2+$N$38,$R$34)</f>
        <v>200000</v>
      </c>
      <c r="S25" s="160">
        <f>IF((($Q$23-430000)*$O$36+$O$37*2+$O$38)&lt;$S$34,($Q$23-430000)*$O$36+$O$37*2+$O$38,$S$34)</f>
        <v>220000</v>
      </c>
      <c r="T25" s="124" t="s">
        <v>19</v>
      </c>
      <c r="U25" s="124" t="s">
        <v>19</v>
      </c>
    </row>
    <row r="26" spans="2:21" ht="20.100000000000001" customHeight="1" thickBot="1">
      <c r="B26" s="437"/>
      <c r="C26" s="424" t="s">
        <v>39</v>
      </c>
      <c r="D26" s="425"/>
      <c r="E26" s="426">
        <v>0.1231</v>
      </c>
      <c r="F26" s="427"/>
      <c r="G26" s="379">
        <f>$O22</f>
        <v>-14.73</v>
      </c>
      <c r="H26" s="428"/>
      <c r="I26" s="166">
        <f>I25/12</f>
        <v>6782.25</v>
      </c>
      <c r="J26" s="175" t="s">
        <v>20</v>
      </c>
      <c r="K26" s="180"/>
      <c r="L26" s="182"/>
      <c r="M26" s="116"/>
      <c r="N26" s="130">
        <f>-ROUND(SUM(N25/$M25*100),2)</f>
        <v>-11.22</v>
      </c>
      <c r="O26" s="130">
        <f>-ROUND(SUM(O25/$M25*100),2)</f>
        <v>-12.31</v>
      </c>
      <c r="Q26" s="114" t="s">
        <v>40</v>
      </c>
      <c r="R26" s="161">
        <f>IF((($Q$23-430000)*$N$39+$N$40*2+$N$41)&lt;$R$35,($Q$23-430000)*$N$39+$N$40*2+$N$41,$R$35)</f>
        <v>170000</v>
      </c>
      <c r="S26" s="161">
        <f>IF((($Q$23-430000)*$O$39+$O$40*2+$O$41)&lt;$S$35,($Q$23-430000)*$O$39+$O$40*2+$O$41,$S$35)</f>
        <v>170000</v>
      </c>
      <c r="T26" s="124" t="s">
        <v>19</v>
      </c>
      <c r="U26" s="124" t="s">
        <v>19</v>
      </c>
    </row>
    <row r="27" spans="2:21" ht="20.100000000000001" customHeight="1" thickBot="1">
      <c r="B27" s="342" t="s">
        <v>132</v>
      </c>
      <c r="C27" s="408" t="s">
        <v>91</v>
      </c>
      <c r="D27" s="409"/>
      <c r="E27" s="380">
        <v>825944</v>
      </c>
      <c r="F27" s="381"/>
      <c r="G27" s="382">
        <f>O23</f>
        <v>915069</v>
      </c>
      <c r="H27" s="381"/>
      <c r="I27" s="167">
        <f>G27-E27</f>
        <v>89125</v>
      </c>
      <c r="J27" s="176" t="s">
        <v>20</v>
      </c>
      <c r="K27" s="180"/>
      <c r="L27" s="182"/>
      <c r="M27" s="116">
        <f>Q27</f>
        <v>11100000</v>
      </c>
      <c r="N27" s="101">
        <f>SUM(R28:R30)</f>
        <v>1020000</v>
      </c>
      <c r="O27" s="101">
        <f>SUM(S28:S30)</f>
        <v>1040000</v>
      </c>
      <c r="Q27" s="187">
        <v>11100000</v>
      </c>
      <c r="R27" s="115">
        <v>29</v>
      </c>
      <c r="S27" s="120">
        <v>30</v>
      </c>
    </row>
    <row r="28" spans="2:21" ht="20.100000000000001" customHeight="1" thickBot="1">
      <c r="B28" s="343"/>
      <c r="C28" s="397" t="s">
        <v>39</v>
      </c>
      <c r="D28" s="405"/>
      <c r="E28" s="406">
        <v>0.1158</v>
      </c>
      <c r="F28" s="407"/>
      <c r="G28" s="379">
        <f>$O24</f>
        <v>-13.07</v>
      </c>
      <c r="H28" s="354"/>
      <c r="I28" s="166">
        <f>I27/12</f>
        <v>7427.083333333333</v>
      </c>
      <c r="J28" s="177" t="s">
        <v>20</v>
      </c>
      <c r="K28" s="180"/>
      <c r="L28" s="182"/>
      <c r="M28" s="116"/>
      <c r="N28" s="130">
        <f>-ROUND(SUM(N27/$M27*100),2)</f>
        <v>-9.19</v>
      </c>
      <c r="O28" s="130">
        <f>-ROUND(SUM(O27/$M27*100),2)</f>
        <v>-9.3699999999999992</v>
      </c>
      <c r="Q28" s="112" t="s">
        <v>35</v>
      </c>
      <c r="R28" s="159">
        <f>IF((($Q$27-430000)*$N$33+$N$34*2+$N$35)&lt;$R$33,($Q$27-430000)*$N$33+$N$34*2+$N$35,$R$33)</f>
        <v>650000</v>
      </c>
      <c r="S28" s="159">
        <f>IF((($Q$27-430000)*$O$33+$O$34*2+$O$35)&lt;$S$33,($Q$27-430000)*$O$33+$O$34*2+$O$35,$S$33)</f>
        <v>650000</v>
      </c>
      <c r="T28" s="124" t="s">
        <v>19</v>
      </c>
      <c r="U28" s="124" t="s">
        <v>19</v>
      </c>
    </row>
    <row r="29" spans="2:21" ht="20.100000000000001" customHeight="1">
      <c r="B29" s="344" t="s">
        <v>119</v>
      </c>
      <c r="C29" s="408" t="s">
        <v>28</v>
      </c>
      <c r="D29" s="409"/>
      <c r="E29" s="380">
        <v>897410</v>
      </c>
      <c r="F29" s="381"/>
      <c r="G29" s="382">
        <f>O25</f>
        <v>984769</v>
      </c>
      <c r="H29" s="381"/>
      <c r="I29" s="167">
        <f>G29-E29</f>
        <v>87359</v>
      </c>
      <c r="J29" s="176" t="s">
        <v>20</v>
      </c>
      <c r="Q29" s="113" t="s">
        <v>36</v>
      </c>
      <c r="R29" s="160">
        <f>IF((($Q$27-430000)*$N$36+$N$37*2+$N$38)&lt;$R$34,($Q$27-430000)*$N$36+$N$37*2+$N$38,$R$34)</f>
        <v>200000</v>
      </c>
      <c r="S29" s="160">
        <f>IF((($Q$27-430000)*$O$36+$O$37*2+$O$38)&lt;$S$34,($Q$27-430000)*$O$36+$O$37*2+$O$38,$S$34)</f>
        <v>220000</v>
      </c>
      <c r="T29" s="124" t="s">
        <v>19</v>
      </c>
      <c r="U29" s="124" t="s">
        <v>19</v>
      </c>
    </row>
    <row r="30" spans="2:21" ht="20.100000000000001" customHeight="1" thickBot="1">
      <c r="B30" s="338"/>
      <c r="C30" s="397" t="s">
        <v>39</v>
      </c>
      <c r="D30" s="405"/>
      <c r="E30" s="406">
        <v>0.1099</v>
      </c>
      <c r="F30" s="407"/>
      <c r="G30" s="379">
        <f>$O26</f>
        <v>-12.31</v>
      </c>
      <c r="H30" s="354"/>
      <c r="I30" s="166">
        <f>I29/12</f>
        <v>7279.916666666667</v>
      </c>
      <c r="J30" s="175" t="s">
        <v>20</v>
      </c>
      <c r="N30" s="157"/>
      <c r="O30" s="157"/>
      <c r="Q30" s="114" t="s">
        <v>40</v>
      </c>
      <c r="R30" s="160">
        <f>IF((($Q$27-430000)*$N$39+$N$40*2+$N$41)&lt;$R$35,($Q$27-430000)*$N$39+$N$40*2+$N$41,$R$35)</f>
        <v>170000</v>
      </c>
      <c r="S30" s="160">
        <f>IF((($Q$27-430000)*$O$39+$O$40*2+$O$41)&lt;$S$35,($Q$27-430000)*$O$39+$O$40*2+$O$41,$S$35)</f>
        <v>170000</v>
      </c>
      <c r="T30" s="124" t="s">
        <v>19</v>
      </c>
      <c r="U30" s="124" t="s">
        <v>19</v>
      </c>
    </row>
    <row r="31" spans="2:21" ht="20.100000000000001" customHeight="1">
      <c r="B31" s="345" t="s">
        <v>59</v>
      </c>
      <c r="C31" s="410" t="s">
        <v>161</v>
      </c>
      <c r="D31" s="419"/>
      <c r="E31" s="380">
        <v>1020000</v>
      </c>
      <c r="F31" s="381"/>
      <c r="G31" s="372">
        <v>1040000</v>
      </c>
      <c r="H31" s="352"/>
      <c r="I31" s="167">
        <f>G31-E31</f>
        <v>20000</v>
      </c>
      <c r="J31" s="176" t="s">
        <v>20</v>
      </c>
      <c r="N31" s="12"/>
      <c r="O31" s="12"/>
    </row>
    <row r="32" spans="2:21" ht="20.100000000000001" customHeight="1" thickBot="1">
      <c r="B32" s="346"/>
      <c r="C32" s="442" t="s">
        <v>39</v>
      </c>
      <c r="D32" s="443"/>
      <c r="E32" s="444">
        <v>0.09</v>
      </c>
      <c r="F32" s="445"/>
      <c r="G32" s="375">
        <f>$O28</f>
        <v>-9.3699999999999992</v>
      </c>
      <c r="H32" s="374"/>
      <c r="I32" s="168">
        <f>I31/12</f>
        <v>1666.6666666666667</v>
      </c>
      <c r="J32" s="177" t="s">
        <v>20</v>
      </c>
      <c r="N32" s="188" t="s">
        <v>166</v>
      </c>
      <c r="O32" s="188" t="s">
        <v>165</v>
      </c>
    </row>
    <row r="33" spans="2:19" ht="21" customHeight="1">
      <c r="C33" s="1"/>
      <c r="D33" s="1"/>
      <c r="J33" s="197"/>
      <c r="L33" s="390" t="s">
        <v>47</v>
      </c>
      <c r="M33" s="93" t="s">
        <v>42</v>
      </c>
      <c r="N33" s="186">
        <v>6.0999999999999999E-2</v>
      </c>
      <c r="O33" s="186">
        <v>6.9699999999999998E-2</v>
      </c>
      <c r="Q33" s="1" t="s">
        <v>100</v>
      </c>
      <c r="R33" s="124">
        <v>650000</v>
      </c>
      <c r="S33" s="124">
        <v>650000</v>
      </c>
    </row>
    <row r="34" spans="2:19" ht="21" customHeight="1">
      <c r="B34" s="449"/>
      <c r="C34" s="449"/>
      <c r="D34" s="449"/>
      <c r="E34" s="449"/>
      <c r="F34" s="449"/>
      <c r="G34" s="449"/>
      <c r="H34" s="449"/>
      <c r="I34" s="449"/>
      <c r="J34" s="449"/>
      <c r="L34" s="391"/>
      <c r="M34" s="93" t="s">
        <v>145</v>
      </c>
      <c r="N34" s="186">
        <v>24930</v>
      </c>
      <c r="O34" s="186">
        <v>25530</v>
      </c>
      <c r="Q34" s="1" t="s">
        <v>117</v>
      </c>
      <c r="R34" s="124">
        <v>200000</v>
      </c>
      <c r="S34" s="124">
        <v>220000</v>
      </c>
    </row>
    <row r="35" spans="2:19" ht="21.95" customHeight="1">
      <c r="B35" s="450"/>
      <c r="C35" s="450"/>
      <c r="D35" s="450"/>
      <c r="E35" s="451"/>
      <c r="F35" s="451"/>
      <c r="G35" s="451"/>
      <c r="H35" s="451"/>
      <c r="I35" s="450"/>
      <c r="J35" s="450"/>
      <c r="L35" s="392"/>
      <c r="M35" s="93" t="s">
        <v>33</v>
      </c>
      <c r="N35" s="186">
        <v>15780</v>
      </c>
      <c r="O35" s="186">
        <v>16080</v>
      </c>
      <c r="Q35" s="1" t="s">
        <v>116</v>
      </c>
      <c r="R35" s="124">
        <v>170000</v>
      </c>
      <c r="S35" s="124">
        <v>170000</v>
      </c>
    </row>
    <row r="36" spans="2:19" ht="21.95" customHeight="1">
      <c r="B36" s="446"/>
      <c r="C36" s="446"/>
      <c r="D36" s="446"/>
      <c r="E36" s="447"/>
      <c r="F36" s="447"/>
      <c r="G36" s="447"/>
      <c r="H36" s="447"/>
      <c r="I36" s="447"/>
      <c r="J36" s="448"/>
      <c r="L36" s="390" t="s">
        <v>92</v>
      </c>
      <c r="M36" s="93" t="s">
        <v>42</v>
      </c>
      <c r="N36" s="186">
        <v>2.52E-2</v>
      </c>
      <c r="O36" s="186">
        <v>3.2000000000000001E-2</v>
      </c>
    </row>
    <row r="37" spans="2:19" ht="21.95" customHeight="1">
      <c r="B37" s="446"/>
      <c r="C37" s="446"/>
      <c r="D37" s="446"/>
      <c r="E37" s="447"/>
      <c r="F37" s="447"/>
      <c r="G37" s="447"/>
      <c r="H37" s="447"/>
      <c r="I37" s="447"/>
      <c r="J37" s="448"/>
      <c r="L37" s="391"/>
      <c r="M37" s="93" t="s">
        <v>145</v>
      </c>
      <c r="N37" s="186">
        <v>9180</v>
      </c>
      <c r="O37" s="186">
        <v>11130</v>
      </c>
    </row>
    <row r="38" spans="2:19" ht="21.95" customHeight="1">
      <c r="B38" s="446"/>
      <c r="C38" s="446"/>
      <c r="D38" s="446"/>
      <c r="E38" s="447"/>
      <c r="F38" s="447"/>
      <c r="G38" s="447"/>
      <c r="H38" s="447"/>
      <c r="I38" s="447"/>
      <c r="J38" s="448"/>
      <c r="L38" s="392"/>
      <c r="M38" s="93" t="s">
        <v>33</v>
      </c>
      <c r="N38" s="186">
        <v>5610</v>
      </c>
      <c r="O38" s="186">
        <v>6120</v>
      </c>
    </row>
    <row r="39" spans="2:19" ht="21.95" customHeight="1">
      <c r="B39" s="446"/>
      <c r="C39" s="446"/>
      <c r="D39" s="446"/>
      <c r="E39" s="447"/>
      <c r="F39" s="447"/>
      <c r="G39" s="447"/>
      <c r="H39" s="447"/>
      <c r="I39" s="447"/>
      <c r="J39" s="448"/>
      <c r="L39" s="390" t="s">
        <v>146</v>
      </c>
      <c r="M39" s="93" t="s">
        <v>42</v>
      </c>
      <c r="N39" s="186">
        <v>2.53E-2</v>
      </c>
      <c r="O39" s="186">
        <v>2.9899999999999999E-2</v>
      </c>
    </row>
    <row r="40" spans="2:19" ht="21.95" customHeight="1">
      <c r="B40" s="446"/>
      <c r="C40" s="446"/>
      <c r="D40" s="446"/>
      <c r="E40" s="447"/>
      <c r="F40" s="447"/>
      <c r="G40" s="447"/>
      <c r="H40" s="447"/>
      <c r="I40" s="447"/>
      <c r="J40" s="448"/>
      <c r="L40" s="391"/>
      <c r="M40" s="93" t="s">
        <v>145</v>
      </c>
      <c r="N40" s="186">
        <v>9360</v>
      </c>
      <c r="O40" s="186">
        <v>9990</v>
      </c>
    </row>
    <row r="41" spans="2:19" ht="21.95" customHeight="1">
      <c r="B41" s="446"/>
      <c r="C41" s="446"/>
      <c r="D41" s="446"/>
      <c r="E41" s="447"/>
      <c r="F41" s="447"/>
      <c r="G41" s="447"/>
      <c r="H41" s="447"/>
      <c r="I41" s="447"/>
      <c r="J41" s="448"/>
      <c r="L41" s="392"/>
      <c r="M41" s="93" t="s">
        <v>33</v>
      </c>
      <c r="N41" s="186">
        <v>4860</v>
      </c>
      <c r="O41" s="186">
        <v>5310</v>
      </c>
    </row>
    <row r="42" spans="2:19" ht="21.95" customHeight="1">
      <c r="B42" s="446"/>
      <c r="C42" s="446"/>
      <c r="D42" s="446"/>
      <c r="E42" s="447"/>
      <c r="F42" s="447"/>
      <c r="G42" s="447"/>
      <c r="H42" s="447"/>
      <c r="I42" s="447"/>
      <c r="J42" s="448"/>
    </row>
    <row r="43" spans="2:19" ht="21.95" customHeight="1">
      <c r="B43" s="446"/>
      <c r="C43" s="446"/>
      <c r="D43" s="446"/>
      <c r="E43" s="447"/>
      <c r="F43" s="447"/>
      <c r="G43" s="447"/>
      <c r="H43" s="447"/>
      <c r="I43" s="447"/>
      <c r="J43" s="448"/>
    </row>
    <row r="44" spans="2:19" ht="21.95" customHeight="1">
      <c r="B44" s="450"/>
      <c r="C44" s="450"/>
      <c r="D44" s="450"/>
      <c r="E44" s="447"/>
      <c r="F44" s="447"/>
      <c r="G44" s="447"/>
      <c r="H44" s="447"/>
      <c r="I44" s="447"/>
      <c r="J44" s="448"/>
    </row>
    <row r="45" spans="2:19" ht="21.95" customHeight="1">
      <c r="B45" s="450"/>
      <c r="C45" s="450"/>
      <c r="D45" s="450"/>
      <c r="E45" s="447"/>
      <c r="F45" s="447"/>
      <c r="G45" s="447"/>
      <c r="H45" s="447"/>
      <c r="I45" s="447"/>
      <c r="J45" s="448"/>
    </row>
    <row r="46" spans="2:19" ht="17.25">
      <c r="B46" s="450"/>
      <c r="C46" s="450"/>
      <c r="D46" s="450"/>
      <c r="E46" s="447"/>
      <c r="F46" s="447"/>
      <c r="G46" s="447"/>
      <c r="H46" s="447"/>
      <c r="I46" s="447"/>
      <c r="J46" s="448"/>
    </row>
    <row r="48" spans="2:19">
      <c r="C48" s="1"/>
      <c r="D48" s="1"/>
    </row>
    <row r="49" spans="1:5">
      <c r="A49" s="393" t="s">
        <v>170</v>
      </c>
      <c r="B49" s="393"/>
      <c r="C49" s="93" t="s">
        <v>178</v>
      </c>
      <c r="D49" s="393" t="s">
        <v>180</v>
      </c>
      <c r="E49" s="393"/>
    </row>
    <row r="50" spans="1:5">
      <c r="A50" s="93" t="s">
        <v>171</v>
      </c>
      <c r="B50" s="93"/>
      <c r="C50" s="93">
        <v>16.3</v>
      </c>
      <c r="D50" s="199"/>
      <c r="E50" s="198">
        <v>14.35</v>
      </c>
    </row>
    <row r="51" spans="1:5">
      <c r="A51" s="93" t="s">
        <v>172</v>
      </c>
      <c r="B51" s="93"/>
      <c r="C51" s="93">
        <v>15.1</v>
      </c>
      <c r="D51" s="199"/>
      <c r="E51" s="198">
        <v>18.329999999999998</v>
      </c>
    </row>
    <row r="52" spans="1:5">
      <c r="A52" s="93" t="s">
        <v>179</v>
      </c>
      <c r="B52" s="93"/>
      <c r="C52" s="93">
        <v>17.100000000000001</v>
      </c>
      <c r="D52" s="199"/>
      <c r="E52" s="198">
        <v>20.57</v>
      </c>
    </row>
    <row r="53" spans="1:5">
      <c r="A53" s="93" t="s">
        <v>173</v>
      </c>
      <c r="B53" s="93"/>
      <c r="C53" s="93">
        <v>18.7</v>
      </c>
      <c r="D53" s="199"/>
      <c r="E53" s="198">
        <v>16.920000000000002</v>
      </c>
    </row>
    <row r="54" spans="1:5">
      <c r="A54" s="93" t="s">
        <v>174</v>
      </c>
      <c r="B54" s="93"/>
      <c r="C54" s="93">
        <v>10</v>
      </c>
      <c r="D54" s="199"/>
      <c r="E54" s="198">
        <v>8.6300000000000008</v>
      </c>
    </row>
    <row r="55" spans="1:5">
      <c r="A55" s="93" t="s">
        <v>175</v>
      </c>
      <c r="B55" s="93"/>
      <c r="C55" s="93">
        <v>6.4</v>
      </c>
      <c r="D55" s="199"/>
      <c r="E55" s="198">
        <v>6.13</v>
      </c>
    </row>
    <row r="56" spans="1:5">
      <c r="A56" s="93" t="s">
        <v>176</v>
      </c>
      <c r="B56" s="93"/>
      <c r="C56" s="93">
        <v>4.8</v>
      </c>
      <c r="D56" s="199"/>
      <c r="E56" s="198">
        <v>4.7300000000000004</v>
      </c>
    </row>
    <row r="57" spans="1:5">
      <c r="A57" s="93" t="s">
        <v>177</v>
      </c>
      <c r="B57" s="93"/>
      <c r="C57" s="93">
        <v>11.6</v>
      </c>
      <c r="D57" s="199"/>
      <c r="E57" s="198">
        <v>10.34</v>
      </c>
    </row>
    <row r="58" spans="1:5">
      <c r="A58" s="393" t="s">
        <v>181</v>
      </c>
      <c r="B58" s="393"/>
      <c r="C58" s="93">
        <f>SUM(C50:C57)</f>
        <v>100</v>
      </c>
      <c r="D58" s="199"/>
      <c r="E58" s="198">
        <f t="shared" ref="E58" si="0">SUM(E50:E57)</f>
        <v>100</v>
      </c>
    </row>
    <row r="59" spans="1:5">
      <c r="C59" s="1"/>
      <c r="D59" s="1"/>
    </row>
  </sheetData>
  <mergeCells count="147">
    <mergeCell ref="B46:D46"/>
    <mergeCell ref="E46:F46"/>
    <mergeCell ref="G46:H46"/>
    <mergeCell ref="I46:J46"/>
    <mergeCell ref="B44:D44"/>
    <mergeCell ref="E44:F44"/>
    <mergeCell ref="G44:H44"/>
    <mergeCell ref="I44:J44"/>
    <mergeCell ref="B45:D45"/>
    <mergeCell ref="E45:F45"/>
    <mergeCell ref="G45:H45"/>
    <mergeCell ref="I45:J45"/>
    <mergeCell ref="B43:D43"/>
    <mergeCell ref="E43:F43"/>
    <mergeCell ref="G43:H43"/>
    <mergeCell ref="I43:J43"/>
    <mergeCell ref="L39:L41"/>
    <mergeCell ref="B40:D40"/>
    <mergeCell ref="E40:F40"/>
    <mergeCell ref="G40:H40"/>
    <mergeCell ref="I40:J40"/>
    <mergeCell ref="B41:D41"/>
    <mergeCell ref="E41:F41"/>
    <mergeCell ref="G41:H41"/>
    <mergeCell ref="I41:J41"/>
    <mergeCell ref="B39:D39"/>
    <mergeCell ref="E39:F39"/>
    <mergeCell ref="G39:H39"/>
    <mergeCell ref="I39:J39"/>
    <mergeCell ref="B42:D42"/>
    <mergeCell ref="E42:F42"/>
    <mergeCell ref="G42:H42"/>
    <mergeCell ref="I42:J42"/>
    <mergeCell ref="L36:L38"/>
    <mergeCell ref="B37:D37"/>
    <mergeCell ref="E37:F37"/>
    <mergeCell ref="G37:H37"/>
    <mergeCell ref="I37:J37"/>
    <mergeCell ref="B38:D38"/>
    <mergeCell ref="L33:L35"/>
    <mergeCell ref="B34:J34"/>
    <mergeCell ref="B35:D35"/>
    <mergeCell ref="E35:F35"/>
    <mergeCell ref="G35:H35"/>
    <mergeCell ref="I35:J35"/>
    <mergeCell ref="E38:F38"/>
    <mergeCell ref="G38:H38"/>
    <mergeCell ref="I38:J38"/>
    <mergeCell ref="B36:D36"/>
    <mergeCell ref="E36:F36"/>
    <mergeCell ref="G36:H36"/>
    <mergeCell ref="I36:J36"/>
    <mergeCell ref="B31:B32"/>
    <mergeCell ref="C31:D31"/>
    <mergeCell ref="E31:F31"/>
    <mergeCell ref="G31:H31"/>
    <mergeCell ref="C32:D32"/>
    <mergeCell ref="E32:F32"/>
    <mergeCell ref="G32:H32"/>
    <mergeCell ref="B29:B30"/>
    <mergeCell ref="C29:D29"/>
    <mergeCell ref="E29:F29"/>
    <mergeCell ref="G29:H29"/>
    <mergeCell ref="C30:D30"/>
    <mergeCell ref="E30:F30"/>
    <mergeCell ref="G30:H30"/>
    <mergeCell ref="E22:F22"/>
    <mergeCell ref="G22:H22"/>
    <mergeCell ref="B27:B28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19:D19"/>
    <mergeCell ref="E19:F19"/>
    <mergeCell ref="G19:H19"/>
    <mergeCell ref="C20:D20"/>
    <mergeCell ref="E20:F20"/>
    <mergeCell ref="G20:H20"/>
    <mergeCell ref="B17:B18"/>
    <mergeCell ref="C17:D17"/>
    <mergeCell ref="E17:F17"/>
    <mergeCell ref="G17:H17"/>
    <mergeCell ref="C18:D18"/>
    <mergeCell ref="E18:F18"/>
    <mergeCell ref="G18:H18"/>
    <mergeCell ref="B19:B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G9:H9"/>
    <mergeCell ref="C10:D10"/>
    <mergeCell ref="E10:F10"/>
    <mergeCell ref="G10:H10"/>
    <mergeCell ref="B15:B16"/>
    <mergeCell ref="C15:D15"/>
    <mergeCell ref="E15:F15"/>
    <mergeCell ref="G15:H15"/>
    <mergeCell ref="C16:D16"/>
    <mergeCell ref="E16:F16"/>
    <mergeCell ref="G16:H16"/>
    <mergeCell ref="B13:B14"/>
    <mergeCell ref="C13:D13"/>
    <mergeCell ref="E13:F13"/>
    <mergeCell ref="G13:H13"/>
    <mergeCell ref="C14:D14"/>
    <mergeCell ref="E14:F14"/>
    <mergeCell ref="G14:H14"/>
    <mergeCell ref="D49:E49"/>
    <mergeCell ref="A49:B49"/>
    <mergeCell ref="A58:B58"/>
    <mergeCell ref="B4:J4"/>
    <mergeCell ref="C6:D6"/>
    <mergeCell ref="E6:F6"/>
    <mergeCell ref="G6:H6"/>
    <mergeCell ref="I6:J6"/>
    <mergeCell ref="B7:B10"/>
    <mergeCell ref="C7:D7"/>
    <mergeCell ref="E7:F7"/>
    <mergeCell ref="G7:H7"/>
    <mergeCell ref="C8:D8"/>
    <mergeCell ref="B11:B12"/>
    <mergeCell ref="C11:D11"/>
    <mergeCell ref="E11:F11"/>
    <mergeCell ref="G11:H11"/>
    <mergeCell ref="C12:D12"/>
    <mergeCell ref="E12:F12"/>
    <mergeCell ref="G12:H12"/>
    <mergeCell ref="E8:F8"/>
    <mergeCell ref="G8:H8"/>
    <mergeCell ref="C9:D9"/>
    <mergeCell ref="E9:F9"/>
  </mergeCells>
  <phoneticPr fontId="29"/>
  <printOptions horizontalCentered="1"/>
  <pageMargins left="0.59055118110236227" right="0.59055118110236227" top="0.98425196850393704" bottom="0.78740157480314965" header="0.31496062992125984" footer="0.31496062992125984"/>
  <pageSetup paperSize="9" scale="85" orientation="portrait" r:id="rId1"/>
  <headerFooter>
    <oddFooter xml:space="preserve">&amp;C
</oddFooter>
  </headerFooter>
  <rowBreaks count="1" manualBreakCount="1">
    <brk id="35" max="10" man="1"/>
  </rowBreaks>
  <colBreaks count="1" manualBreakCount="1">
    <brk id="9" max="4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8ECB2-DE83-4A00-B66A-80350E5060B9}">
  <dimension ref="B2:F12"/>
  <sheetViews>
    <sheetView workbookViewId="0">
      <selection activeCell="E4" sqref="E4"/>
    </sheetView>
  </sheetViews>
  <sheetFormatPr defaultRowHeight="13.5"/>
  <cols>
    <col min="3" max="3" width="14.625" customWidth="1"/>
    <col min="4" max="4" width="14.375" customWidth="1"/>
    <col min="5" max="5" width="13.375" customWidth="1"/>
  </cols>
  <sheetData>
    <row r="2" spans="2:6" ht="21" customHeight="1">
      <c r="E2" s="202"/>
      <c r="F2" s="202" t="s">
        <v>182</v>
      </c>
    </row>
    <row r="3" spans="2:6" ht="25.5" customHeight="1">
      <c r="B3" s="453" t="s">
        <v>170</v>
      </c>
      <c r="C3" s="453"/>
      <c r="D3" s="200" t="s">
        <v>178</v>
      </c>
      <c r="E3" s="200" t="s">
        <v>180</v>
      </c>
      <c r="F3" s="203" t="s">
        <v>183</v>
      </c>
    </row>
    <row r="4" spans="2:6" ht="22.5" customHeight="1">
      <c r="B4" s="452" t="s">
        <v>171</v>
      </c>
      <c r="C4" s="452"/>
      <c r="D4" s="201">
        <v>16.3</v>
      </c>
      <c r="E4" s="201">
        <v>14.35</v>
      </c>
      <c r="F4" s="203">
        <f>E4-D4</f>
        <v>-1.9500000000000011</v>
      </c>
    </row>
    <row r="5" spans="2:6" ht="22.5" customHeight="1">
      <c r="B5" s="452" t="s">
        <v>172</v>
      </c>
      <c r="C5" s="452"/>
      <c r="D5" s="201">
        <v>15.1</v>
      </c>
      <c r="E5" s="201">
        <v>18.329999999999998</v>
      </c>
      <c r="F5" s="203">
        <f t="shared" ref="F5:F11" si="0">E5-D5</f>
        <v>3.2299999999999986</v>
      </c>
    </row>
    <row r="6" spans="2:6" ht="22.5" customHeight="1">
      <c r="B6" s="452" t="s">
        <v>179</v>
      </c>
      <c r="C6" s="452"/>
      <c r="D6" s="201">
        <v>17.100000000000001</v>
      </c>
      <c r="E6" s="201">
        <v>20.57</v>
      </c>
      <c r="F6" s="203">
        <f t="shared" si="0"/>
        <v>3.4699999999999989</v>
      </c>
    </row>
    <row r="7" spans="2:6" ht="22.5" customHeight="1">
      <c r="B7" s="452" t="s">
        <v>173</v>
      </c>
      <c r="C7" s="452"/>
      <c r="D7" s="201">
        <v>18.7</v>
      </c>
      <c r="E7" s="201">
        <v>16.920000000000002</v>
      </c>
      <c r="F7" s="203">
        <f t="shared" si="0"/>
        <v>-1.7799999999999976</v>
      </c>
    </row>
    <row r="8" spans="2:6" ht="22.5" customHeight="1">
      <c r="B8" s="452" t="s">
        <v>174</v>
      </c>
      <c r="C8" s="452"/>
      <c r="D8" s="201">
        <v>10</v>
      </c>
      <c r="E8" s="201">
        <v>8.6300000000000008</v>
      </c>
      <c r="F8" s="203">
        <f t="shared" si="0"/>
        <v>-1.3699999999999992</v>
      </c>
    </row>
    <row r="9" spans="2:6" ht="22.5" customHeight="1">
      <c r="B9" s="452" t="s">
        <v>175</v>
      </c>
      <c r="C9" s="452"/>
      <c r="D9" s="201">
        <v>6.4</v>
      </c>
      <c r="E9" s="201">
        <v>6.13</v>
      </c>
      <c r="F9" s="203">
        <f t="shared" si="0"/>
        <v>-0.27000000000000046</v>
      </c>
    </row>
    <row r="10" spans="2:6" ht="22.5" customHeight="1">
      <c r="B10" s="452" t="s">
        <v>176</v>
      </c>
      <c r="C10" s="452"/>
      <c r="D10" s="201">
        <v>4.8</v>
      </c>
      <c r="E10" s="201">
        <v>4.7300000000000004</v>
      </c>
      <c r="F10" s="203">
        <f t="shared" si="0"/>
        <v>-6.9999999999999396E-2</v>
      </c>
    </row>
    <row r="11" spans="2:6" ht="22.5" customHeight="1">
      <c r="B11" s="452" t="s">
        <v>177</v>
      </c>
      <c r="C11" s="452"/>
      <c r="D11" s="201">
        <v>11.6</v>
      </c>
      <c r="E11" s="201">
        <v>10.34</v>
      </c>
      <c r="F11" s="203">
        <f t="shared" si="0"/>
        <v>-1.2599999999999998</v>
      </c>
    </row>
    <row r="12" spans="2:6" ht="22.5" customHeight="1">
      <c r="B12" s="453" t="s">
        <v>181</v>
      </c>
      <c r="C12" s="453"/>
      <c r="D12" s="201">
        <f>SUM(D4:D11)</f>
        <v>100</v>
      </c>
      <c r="E12" s="201">
        <f t="shared" ref="E12" si="1">SUM(E4:E11)</f>
        <v>100</v>
      </c>
      <c r="F12" s="203"/>
    </row>
  </sheetData>
  <mergeCells count="10">
    <mergeCell ref="B4:C4"/>
    <mergeCell ref="B3:C3"/>
    <mergeCell ref="B12:C12"/>
    <mergeCell ref="B11:C11"/>
    <mergeCell ref="B10:C10"/>
    <mergeCell ref="B9:C9"/>
    <mergeCell ref="B8:C8"/>
    <mergeCell ref="B7:C7"/>
    <mergeCell ref="B6:C6"/>
    <mergeCell ref="B5:C5"/>
  </mergeCells>
  <phoneticPr fontId="2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26</vt:lpstr>
      <vt:lpstr>27</vt:lpstr>
      <vt:lpstr>28</vt:lpstr>
      <vt:lpstr>29</vt:lpstr>
      <vt:lpstr>30</vt:lpstr>
      <vt:lpstr>R05</vt:lpstr>
      <vt:lpstr>Sheet1</vt:lpstr>
      <vt:lpstr>'26'!Print_Area</vt:lpstr>
      <vt:lpstr>'27'!Print_Area</vt:lpstr>
      <vt:lpstr>'28'!Print_Area</vt:lpstr>
      <vt:lpstr>'29'!Print_Area</vt:lpstr>
      <vt:lpstr>'30'!Print_Area</vt:lpstr>
      <vt:lpstr>'R05'!Print_Area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NDPWS86</dc:creator>
  <cp:lastModifiedBy>A16P242</cp:lastModifiedBy>
  <cp:lastPrinted>2023-04-27T05:08:22Z</cp:lastPrinted>
  <dcterms:created xsi:type="dcterms:W3CDTF">2013-05-09T05:44:13Z</dcterms:created>
  <dcterms:modified xsi:type="dcterms:W3CDTF">2023-05-11T01:30:30Z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3.1.7.0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2021-11-19T01:20:01Z</vt:filetime>
  </property>
</Properties>
</file>